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70" windowHeight="0" tabRatio="808" activeTab="3"/>
  </bookViews>
  <sheets>
    <sheet name="Foreword" sheetId="1" r:id="rId1"/>
    <sheet name="Tariffs" sheetId="2" r:id="rId2"/>
    <sheet name="2 Wh" sheetId="3" r:id="rId3"/>
    <sheet name="Pvt Car" sheetId="4" r:id="rId4"/>
    <sheet name="PCCV" sheetId="5" r:id="rId5"/>
    <sheet name="GCCV" sheetId="6" r:id="rId6"/>
    <sheet name="Misc" sheetId="7" r:id="rId7"/>
    <sheet name="LT - 2 Wh" sheetId="8" r:id="rId8"/>
    <sheet name="LT - Pvt Car" sheetId="9" r:id="rId9"/>
    <sheet name="E-Quote" sheetId="10" r:id="rId10"/>
    <sheet name="Space" sheetId="11" r:id="rId11"/>
    <sheet name="Regards" sheetId="12" r:id="rId12"/>
    <sheet name="Sign" sheetId="13" r:id="rId13"/>
  </sheets>
  <externalReferences>
    <externalReference r:id="rId16"/>
    <externalReference r:id="rId17"/>
    <externalReference r:id="rId18"/>
    <externalReference r:id="rId19"/>
  </externalReferences>
  <definedNames>
    <definedName name="_xlfn.AGGREGATE" hidden="1">#NAME?</definedName>
    <definedName name="_xlfn.SUMIFS" hidden="1">#NAME?</definedName>
    <definedName name="dhsi">OFFSET(#REF!,0,0,COUNTA(#REF!)-COUNTBLANK(#REF!),1)</definedName>
    <definedName name="dppsi">OFFSET(#REF!,0,0,COUNTA(#REF!)-COUNTBLANK(#REF!),1)</definedName>
    <definedName name="dpsi">OFFSET(#REF!,0,0,COUNTA(#REF!)-COUNTBLANK(#REF!),1)</definedName>
    <definedName name="Excel_BuiltIn_Print_Area_1">'Foreword'!$B$2:$H$30</definedName>
    <definedName name="Excel_BuiltIn_Print_Area_1_1">NA()</definedName>
    <definedName name="Excel_BuiltIn_Print_Area_1_1_1" localSheetId="2">('[2]Quotation'!$M$16:$O$27,'[2]Quotation'!#REF!)</definedName>
    <definedName name="Excel_BuiltIn_Print_Area_1_1_1" localSheetId="9">('[2]Quotation'!$M$16:$O$27,'[2]Quotation'!#REF!)</definedName>
    <definedName name="Excel_BuiltIn_Print_Area_1_1_1" localSheetId="5">('[2]Quotation'!$M$16:$O$27,'[2]Quotation'!#REF!)</definedName>
    <definedName name="Excel_BuiltIn_Print_Area_1_1_1" localSheetId="7">('[2]Quotation'!$M$16:$O$27,'[2]Quotation'!#REF!)</definedName>
    <definedName name="Excel_BuiltIn_Print_Area_1_1_1" localSheetId="8">('[2]Quotation'!$M$16:$O$27,'[2]Quotation'!#REF!)</definedName>
    <definedName name="Excel_BuiltIn_Print_Area_1_1_1" localSheetId="6">('[2]Quotation'!$M$16:$O$27,'[2]Quotation'!#REF!)</definedName>
    <definedName name="Excel_BuiltIn_Print_Area_1_1_1" localSheetId="4">('[2]Quotation'!$M$16:$O$27,'[2]Quotation'!#REF!)</definedName>
    <definedName name="Excel_BuiltIn_Print_Area_1_1_1" localSheetId="3">('[2]Quotation'!$M$16:$O$27,'[2]Quotation'!#REF!)</definedName>
    <definedName name="Excel_BuiltIn_Print_Area_1_1_1" localSheetId="11">('[3]Quotation'!$M$16:$O$27,'[3]Quotation'!#REF!)</definedName>
    <definedName name="Excel_BuiltIn_Print_Area_1_1_1">('[2]Quotation'!$M$16:$O$27,'[2]Quotation'!#REF!)</definedName>
    <definedName name="Excel_BuiltIn_Print_Area_1_1_1_1">("#REF!,#REF!)")</definedName>
    <definedName name="Excel_BuiltIn_Print_Area_1_1_1_1_1" localSheetId="2">(#REF!,#REF!)</definedName>
    <definedName name="Excel_BuiltIn_Print_Area_1_1_1_1_1" localSheetId="9">(#REF!,#REF!)</definedName>
    <definedName name="Excel_BuiltIn_Print_Area_1_1_1_1_1" localSheetId="5">(#REF!,#REF!)</definedName>
    <definedName name="Excel_BuiltIn_Print_Area_1_1_1_1_1" localSheetId="7">(#REF!,#REF!)</definedName>
    <definedName name="Excel_BuiltIn_Print_Area_1_1_1_1_1" localSheetId="8">(#REF!,#REF!)</definedName>
    <definedName name="Excel_BuiltIn_Print_Area_1_1_1_1_1" localSheetId="6">(#REF!,#REF!)</definedName>
    <definedName name="Excel_BuiltIn_Print_Area_1_1_1_1_1" localSheetId="4">(#REF!,#REF!)</definedName>
    <definedName name="Excel_BuiltIn_Print_Area_1_1_1_1_1" localSheetId="3">(#REF!,#REF!)</definedName>
    <definedName name="Excel_BuiltIn_Print_Area_1_1_1_1_1" localSheetId="11">(#REF!,#REF!)</definedName>
    <definedName name="Excel_BuiltIn_Print_Area_1_1_1_1_1">(#REF!,#REF!)</definedName>
    <definedName name="Excel_BuiltIn_Print_Area_1_1_1_1_1_1">NA()</definedName>
    <definedName name="Excel_BuiltIn_Print_Area_1_1_1_1_1_1_1" localSheetId="2">('[2]Quotation'!$M$16:$O$27,'[2]Quotation'!#REF!)</definedName>
    <definedName name="Excel_BuiltIn_Print_Area_1_1_1_1_1_1_1" localSheetId="9">('[2]Quotation'!$M$16:$O$27,'[2]Quotation'!#REF!)</definedName>
    <definedName name="Excel_BuiltIn_Print_Area_1_1_1_1_1_1_1" localSheetId="5">('[2]Quotation'!$M$16:$O$27,'[2]Quotation'!#REF!)</definedName>
    <definedName name="Excel_BuiltIn_Print_Area_1_1_1_1_1_1_1" localSheetId="7">('[2]Quotation'!$M$16:$O$27,'[2]Quotation'!#REF!)</definedName>
    <definedName name="Excel_BuiltIn_Print_Area_1_1_1_1_1_1_1" localSheetId="8">('[2]Quotation'!$M$16:$O$27,'[2]Quotation'!#REF!)</definedName>
    <definedName name="Excel_BuiltIn_Print_Area_1_1_1_1_1_1_1" localSheetId="6">('[2]Quotation'!$M$16:$O$27,'[2]Quotation'!#REF!)</definedName>
    <definedName name="Excel_BuiltIn_Print_Area_1_1_1_1_1_1_1" localSheetId="4">('[2]Quotation'!$M$16:$O$27,'[2]Quotation'!#REF!)</definedName>
    <definedName name="Excel_BuiltIn_Print_Area_1_1_1_1_1_1_1" localSheetId="3">('[2]Quotation'!$M$16:$O$27,'[2]Quotation'!#REF!)</definedName>
    <definedName name="Excel_BuiltIn_Print_Area_1_1_1_1_1_1_1" localSheetId="11">('[3]Quotation'!$M$16:$O$27,'[3]Quotation'!#REF!)</definedName>
    <definedName name="Excel_BuiltIn_Print_Area_1_1_1_1_1_1_1">('[2]Quotation'!$M$16:$O$27,'[2]Quotation'!#REF!)</definedName>
    <definedName name="Excel_BuiltIn_Print_Area_1_1_1_1_1_1_1_1">("#REF!,#REF!)")</definedName>
    <definedName name="Excel_BuiltIn_Print_Area_1_1_1_1_1_1_1_1_1" localSheetId="2">(#REF!,#REF!)</definedName>
    <definedName name="Excel_BuiltIn_Print_Area_1_1_1_1_1_1_1_1_1" localSheetId="9">(#REF!,#REF!)</definedName>
    <definedName name="Excel_BuiltIn_Print_Area_1_1_1_1_1_1_1_1_1" localSheetId="5">(#REF!,#REF!)</definedName>
    <definedName name="Excel_BuiltIn_Print_Area_1_1_1_1_1_1_1_1_1" localSheetId="7">(#REF!,#REF!)</definedName>
    <definedName name="Excel_BuiltIn_Print_Area_1_1_1_1_1_1_1_1_1" localSheetId="8">(#REF!,#REF!)</definedName>
    <definedName name="Excel_BuiltIn_Print_Area_1_1_1_1_1_1_1_1_1" localSheetId="6">(#REF!,#REF!)</definedName>
    <definedName name="Excel_BuiltIn_Print_Area_1_1_1_1_1_1_1_1_1" localSheetId="4">(#REF!,#REF!)</definedName>
    <definedName name="Excel_BuiltIn_Print_Area_1_1_1_1_1_1_1_1_1" localSheetId="3">(#REF!,#REF!)</definedName>
    <definedName name="Excel_BuiltIn_Print_Area_1_1_1_1_1_1_1_1_1" localSheetId="11">(#REF!,#REF!)</definedName>
    <definedName name="Excel_BuiltIn_Print_Area_1_1_1_1_1_1_1_1_1">(#REF!,#REF!)</definedName>
    <definedName name="hffpa">OFFSET('[1]Compute'!$AU$2,0,0,COUNTA('[1]Compute'!$AU$2:$AU$16)-COUNTBLANK('[1]Compute'!$AU$2:$AU$16),1)</definedName>
    <definedName name="hffpach">OFFSET('[1]Compute'!$BC$6,0,0,COUNTA('[1]Compute'!$BC$6:$BC$16)-COUNTBLANK('[1]Compute'!$BC$6:$BC$16),1)</definedName>
    <definedName name="NCB" localSheetId="5">'GCCV'!$AA$2:$AA$8</definedName>
    <definedName name="NCB" localSheetId="7">'LT - 2 Wh'!$Z$2:$Z$8</definedName>
    <definedName name="NCB" localSheetId="8">'LT - Pvt Car'!$AI$2:$AI$9</definedName>
    <definedName name="NCB" localSheetId="6">'Misc'!$AA$2:$AA$8</definedName>
    <definedName name="NCB" localSheetId="4">'PCCV'!$AA$2:$AA$8</definedName>
    <definedName name="NCB" localSheetId="3">'Pvt Car'!$AH$2:$AH$8</definedName>
    <definedName name="NCB" localSheetId="11">'[4]2 Wh'!$W$4:$W$10</definedName>
    <definedName name="NCB">'2 Wh'!$AB$2:$AB$8</definedName>
    <definedName name="NDP" localSheetId="5">'GCCV'!$T$11:$T$13</definedName>
    <definedName name="NDP" localSheetId="7">'LT - 2 Wh'!$S$11:$S$12</definedName>
    <definedName name="NDP" localSheetId="8">'LT - Pvt Car'!$S$16:$S$18</definedName>
    <definedName name="NDP" localSheetId="6">'Misc'!$T$11:$T$13</definedName>
    <definedName name="NDP" localSheetId="4">'PCCV'!$T$11:$T$13</definedName>
    <definedName name="NDP" localSheetId="3">'Pvt Car'!$R$15:$R$17</definedName>
    <definedName name="NDP" localSheetId="11">'[4]2 Wh'!$O$14:$O$16</definedName>
    <definedName name="NDP">'2 Wh'!$T$12:$T$14</definedName>
    <definedName name="NDPGCV" localSheetId="6">'Misc'!$Y$21:$Y$23</definedName>
    <definedName name="NDPGCV" localSheetId="11">'[4]GCCV'!$T$26:$T$28</definedName>
    <definedName name="NDPGCV">'GCCV'!$Y$24:$Y$26</definedName>
    <definedName name="NDPPCV" localSheetId="5">'GCCV'!$Z$28:$Z$31</definedName>
    <definedName name="NDPPCV" localSheetId="6">'Misc'!$Z$25:$Z$27</definedName>
    <definedName name="NDPPCV" localSheetId="11">'[4]PCCV'!$U$29:$U$31</definedName>
    <definedName name="NDPPCV">'PCCV'!$Z$27:$Z$29</definedName>
    <definedName name="_xlnm.Print_Area" localSheetId="2">'2 Wh'!$B$17:$K$53</definedName>
    <definedName name="_xlnm.Print_Area" localSheetId="0">'Foreword'!$A$1:$I$31</definedName>
    <definedName name="_xlnm.Print_Area" localSheetId="5">'GCCV'!$B$22:$K$69</definedName>
    <definedName name="_xlnm.Print_Area" localSheetId="7">'LT - 2 Wh'!$B$22:$K$59</definedName>
    <definedName name="_xlnm.Print_Area" localSheetId="8">'LT - Pvt Car'!$B$24:$K$68</definedName>
    <definedName name="_xlnm.Print_Area" localSheetId="6">'Misc'!$B$19:$K$63</definedName>
    <definedName name="_xlnm.Print_Area" localSheetId="4">'PCCV'!$B$20:$K$63</definedName>
    <definedName name="_xlnm.Print_Area" localSheetId="3">'Pvt Car'!$B$23:$K$67</definedName>
    <definedName name="_xlnm.Print_Area" localSheetId="11">'Regards'!$A$1:$E$9</definedName>
    <definedName name="_xlnm.Print_Area" localSheetId="1">'Tariffs'!$AB$2:$AL$75,'Tariffs'!$B$2:$M$75,'Tariffs'!$O$2:$Z$75</definedName>
    <definedName name="RTIGCV" localSheetId="11">'[4]GCCV'!$U$26:$U$27</definedName>
    <definedName name="RTIGCV">'GCCV'!$Z$24:$Z$25</definedName>
    <definedName name="RTIMISC" localSheetId="11">'[4]Misc'!$U$10:$U$11</definedName>
    <definedName name="RTIMISC">'Misc'!$Z$8:$Z$9</definedName>
    <definedName name="RTIPCV" localSheetId="11">'[4]PCCV'!$V$29:$V$30</definedName>
    <definedName name="RTIPCV">'PCCV'!$AA$27:$AA$28</definedName>
    <definedName name="RTIPVT" localSheetId="8">'LT - Pvt Car'!$T$16:$T$17</definedName>
    <definedName name="RTIPVT" localSheetId="11">'[4]Pvt Car'!$P$12:$P$13</definedName>
    <definedName name="RTIPVT">'Pvt Car'!$S$15:$S$16</definedName>
    <definedName name="RTITWO" localSheetId="7">'LT - 2 Wh'!#REF!</definedName>
    <definedName name="RTITWO" localSheetId="11">'[4]2 Wh'!$P$14:$P$15</definedName>
    <definedName name="RTITWO">'2 Wh'!$U$12:$U$13</definedName>
    <definedName name="Unnamed" localSheetId="7">'LT - 2 Wh'!$Y$2:'LT - 2 Wh'!$Y$12</definedName>
    <definedName name="Unnamed" localSheetId="8">'LT - Pvt Car'!$AJ$2:$AJ$23</definedName>
    <definedName name="Unnamed" localSheetId="3">'Pvt Car'!$AI$2:$AI$22</definedName>
    <definedName name="Unnamed" localSheetId="11">'[4]2 Wh'!$V$4:'[4]2 Wh'!$V$14</definedName>
    <definedName name="Unnamed">'2 Wh'!$AA$2:'2 Wh'!$AA$12</definedName>
  </definedNames>
  <calcPr fullCalcOnLoad="1"/>
</workbook>
</file>

<file path=xl/sharedStrings.xml><?xml version="1.0" encoding="utf-8"?>
<sst xmlns="http://schemas.openxmlformats.org/spreadsheetml/2006/main" count="3572" uniqueCount="481">
  <si>
    <t>FOREWORD</t>
  </si>
  <si>
    <t>Duly modifed the Discount Pattern on Add-On Covers as per the Latest circulars</t>
  </si>
  <si>
    <t>Simple and Attractive Design.. With fast / efficient calculations.. In a given frame</t>
  </si>
  <si>
    <t>Formulated and got Tested several times in INLIAS and found performed correcty</t>
  </si>
  <si>
    <t>Catered the Max needs of the Users and for the rest.. To rely upon IMT Provisions</t>
  </si>
  <si>
    <t>App, Mainly focusses on the need of Coverage mostly used, as a part of our Trade</t>
  </si>
  <si>
    <t>Users would feel very convenient and also User friendly, with a simple data entry</t>
  </si>
  <si>
    <t>Feel necessity, Before printing.. And try to avoid, if possible.. To save our Nature</t>
  </si>
  <si>
    <t>Corrections, if any, felt needed by Users, may be brought to the Notice of Author</t>
  </si>
  <si>
    <t>THE ORIENTAL INSURANCE COMPANY LIMITED</t>
  </si>
  <si>
    <t>Private &amp; Own Use Veh - Based on Cubic Cap</t>
  </si>
  <si>
    <t>Zone of Regn</t>
  </si>
  <si>
    <t>&lt; 5 Yrs</t>
  </si>
  <si>
    <t>5 - 10 Yrs</t>
  </si>
  <si>
    <t>&gt; 10 Yrs</t>
  </si>
  <si>
    <t>TP/Liab/Act Prem</t>
  </si>
  <si>
    <t>% of Difference</t>
  </si>
  <si>
    <t>Two Wheelers</t>
  </si>
  <si>
    <t>Upto 75 CC</t>
  </si>
  <si>
    <t>Zone - A</t>
  </si>
  <si>
    <t>Zone - B</t>
  </si>
  <si>
    <t>76 CC to 150 CC</t>
  </si>
  <si>
    <t>151 CC to 350 CC</t>
  </si>
  <si>
    <t>Above 350 CC</t>
  </si>
  <si>
    <t>Private Cars</t>
  </si>
  <si>
    <t>Upto 1000 CC</t>
  </si>
  <si>
    <t>1001 CC to 1500 CC</t>
  </si>
  <si>
    <t>Above 1500 CC</t>
  </si>
  <si>
    <t>Passenger Carriers - Based on Cubic / Carry Cap</t>
  </si>
  <si>
    <t>Regn Zone</t>
  </si>
  <si>
    <t>5 - 7 Yrs</t>
  </si>
  <si>
    <t>&gt; 7 Yrs</t>
  </si>
  <si>
    <t>Taxies ≤ 6</t>
  </si>
  <si>
    <t>1230 Per Pass</t>
  </si>
  <si>
    <t>1035 Per Pass</t>
  </si>
  <si>
    <t>1183 Per Pass</t>
  </si>
  <si>
    <t>PCV &gt; 6</t>
  </si>
  <si>
    <t>7 - 18 Passengers (OD: Rs.350)</t>
  </si>
  <si>
    <t>7 - 18 Passengers</t>
  </si>
  <si>
    <t>19 - 36 Passengers (OD: Rs.450)</t>
  </si>
  <si>
    <t>19 - 36 Passengers</t>
  </si>
  <si>
    <t>37 - 60 Passengers (OD: Rs.550)</t>
  </si>
  <si>
    <t>Zone - C</t>
  </si>
  <si>
    <t>37 - 60 Passengers</t>
  </si>
  <si>
    <t>Above 60 Passengers (OD: Rs.680)</t>
  </si>
  <si>
    <t>Zonal Rates on OD part, App as above</t>
  </si>
  <si>
    <t>Above 60 Passengers</t>
  </si>
  <si>
    <t>3 Wh Autos Above 17 Pass</t>
  </si>
  <si>
    <t>OD Rate / OD Slab / TP Prem / LL to Pass, As Above</t>
  </si>
  <si>
    <t>3 Wheel Autos</t>
  </si>
  <si>
    <t>Auto ≤ 6 Passengers</t>
  </si>
  <si>
    <t>Among 7 - 17 Passengers</t>
  </si>
  <si>
    <t>Goods Carriers - Based on GVW (Gr Veh Wt)</t>
  </si>
  <si>
    <t>GCV - Pub</t>
  </si>
  <si>
    <t>GVW: Upto 7500 Kgs</t>
  </si>
  <si>
    <t>GVW: 7500 - 12000 Kgs</t>
  </si>
  <si>
    <t>GVW: 12000 - 20000 Kgs</t>
  </si>
  <si>
    <t>GVW: 20000 - 40000 Kgs</t>
  </si>
  <si>
    <t>GVW: Exceeding 40000 Kgs</t>
  </si>
  <si>
    <t>GCV - Pvt</t>
  </si>
  <si>
    <t>Beyond 12000 Kgs, 27/- per 100 Kgs</t>
  </si>
  <si>
    <t>Autos for Pub Carrier</t>
  </si>
  <si>
    <t>Autos for Pvt Carrier</t>
  </si>
  <si>
    <t>Miscellaneous Veh - As per following Sub-Class</t>
  </si>
  <si>
    <t>Misc Cl-D</t>
  </si>
  <si>
    <t>Misc &amp; Other Special Types</t>
  </si>
  <si>
    <t>Pedestrian / Agricultural Tractors</t>
  </si>
  <si>
    <t>Agricultural Tractors ≤ 6 HP Trailers</t>
  </si>
  <si>
    <t>Trailers of Other Vehicles</t>
  </si>
  <si>
    <t>Agr Trailors - 0.870% and Other Trailors - 1.050%</t>
  </si>
  <si>
    <t>CC</t>
  </si>
  <si>
    <t>Zone</t>
  </si>
  <si>
    <t>5-10 Yrs</t>
  </si>
  <si>
    <t>OD Prem</t>
  </si>
  <si>
    <t>TP Prem</t>
  </si>
  <si>
    <t>Please enter the details of risk ………</t>
  </si>
  <si>
    <t>TWO WHEELER</t>
  </si>
  <si>
    <t>&lt; 75 CC</t>
  </si>
  <si>
    <t>Zone:  A</t>
  </si>
  <si>
    <t>Zone:  B</t>
  </si>
  <si>
    <t>Proposer's Name</t>
  </si>
  <si>
    <t>Type of Cover</t>
  </si>
  <si>
    <t>Package Policy</t>
  </si>
  <si>
    <t>76-150</t>
  </si>
  <si>
    <t>Regn Number</t>
  </si>
  <si>
    <t>Make &amp; Model</t>
  </si>
  <si>
    <t>Age of Vehicle</t>
  </si>
  <si>
    <t>Cubic Capacity</t>
  </si>
  <si>
    <t>151-350</t>
  </si>
  <si>
    <t>&gt; 350 CC</t>
  </si>
  <si>
    <t>Ele Access</t>
  </si>
  <si>
    <t>Non-Ele Acc</t>
  </si>
  <si>
    <t>NDP (Nill Dipp)</t>
  </si>
  <si>
    <t>RTI (Ret to Inv)</t>
  </si>
  <si>
    <t>ACD</t>
  </si>
  <si>
    <t>Yes</t>
  </si>
  <si>
    <t>NDP</t>
  </si>
  <si>
    <t>RTI</t>
  </si>
  <si>
    <t>OD Rate</t>
  </si>
  <si>
    <t>TP Rate</t>
  </si>
  <si>
    <t>Owner Driver PA</t>
  </si>
  <si>
    <t>Limited TPPD</t>
  </si>
  <si>
    <t>Pillion Rider PA</t>
  </si>
  <si>
    <t>No Claim Bonus</t>
  </si>
  <si>
    <t>U/w Discount</t>
  </si>
  <si>
    <t>Yes (Required)</t>
  </si>
  <si>
    <t>:</t>
  </si>
  <si>
    <t>Vehicle's Registration Number</t>
  </si>
  <si>
    <t>Make and Model of the Vehicle</t>
  </si>
  <si>
    <t>Type of Policy/Cover Opted</t>
  </si>
  <si>
    <t>Ele / Electronic Accessories, if any</t>
  </si>
  <si>
    <t>Non-Ele Accessories, If any</t>
  </si>
  <si>
    <t>Cubic Capacity of the Vehicle</t>
  </si>
  <si>
    <t>Age of Vehicle (As per RC)</t>
  </si>
  <si>
    <t>Zone of Registration</t>
  </si>
  <si>
    <t>PREMIUM COMPUTATION</t>
  </si>
  <si>
    <t>Basic Third Party Premium</t>
  </si>
  <si>
    <t>PRIVATE CAR</t>
  </si>
  <si>
    <t>Seating Capacity</t>
  </si>
  <si>
    <t>Un-Named PA</t>
  </si>
  <si>
    <t>Anti Theft Dev</t>
  </si>
  <si>
    <t>No (Wider)</t>
  </si>
  <si>
    <t>Value of CNG/LPG Kit, If any</t>
  </si>
  <si>
    <t>Cubic Cap</t>
  </si>
  <si>
    <t>Age Rate</t>
  </si>
  <si>
    <t>PASS CARRIER</t>
  </si>
  <si>
    <t>Below 1000 CC</t>
  </si>
  <si>
    <t>1000-1500 CC</t>
  </si>
  <si>
    <t>3 or 4 Wheeler</t>
  </si>
  <si>
    <t>LL to Pass</t>
  </si>
  <si>
    <t>Carrying Cap</t>
  </si>
  <si>
    <t>OD Slab</t>
  </si>
  <si>
    <t>7 - 18</t>
  </si>
  <si>
    <t>IMT - 23 Cov</t>
  </si>
  <si>
    <t>LL to Emp</t>
  </si>
  <si>
    <t>19 - 36</t>
  </si>
  <si>
    <t>Zone:  C</t>
  </si>
  <si>
    <t>37 - 60</t>
  </si>
  <si>
    <t>Abv 60</t>
  </si>
  <si>
    <t>Auto ≤ 6</t>
  </si>
  <si>
    <t>7 - 17</t>
  </si>
  <si>
    <t>Basic OD</t>
  </si>
  <si>
    <t>Basic TP</t>
  </si>
  <si>
    <t>Pass Liab</t>
  </si>
  <si>
    <t>TPPD</t>
  </si>
  <si>
    <t>Public Carrier - GVW</t>
  </si>
  <si>
    <t>GOODS CARRIER</t>
  </si>
  <si>
    <t>Upto 7500 Kgs</t>
  </si>
  <si>
    <t>7500 - 12000 Kgs</t>
  </si>
  <si>
    <t>12000 - 20000 Kgs</t>
  </si>
  <si>
    <t>20000 - 40000 Kgs</t>
  </si>
  <si>
    <t>Pub/Pvt Carrier</t>
  </si>
  <si>
    <t>&gt; 40000 Kgs</t>
  </si>
  <si>
    <t>4 Wheeler</t>
  </si>
  <si>
    <t>Public Carrier</t>
  </si>
  <si>
    <t>Private Carrier - GVW</t>
  </si>
  <si>
    <t>GVW (Gr. Wt)</t>
  </si>
  <si>
    <t>Trailors - Others</t>
  </si>
  <si>
    <t>Trailors Value</t>
  </si>
  <si>
    <t>LL to Employees</t>
  </si>
  <si>
    <t>NFPP (Non-Fare)</t>
  </si>
  <si>
    <t>No. of Coolies</t>
  </si>
  <si>
    <t>Autos - Goods</t>
  </si>
  <si>
    <t>TPPD - Wider</t>
  </si>
  <si>
    <t>IMT 23 - Yes</t>
  </si>
  <si>
    <t>Private Carrier</t>
  </si>
  <si>
    <t>Addl Tonn</t>
  </si>
  <si>
    <t>Trail-OD</t>
  </si>
  <si>
    <t>Trail-TP</t>
  </si>
  <si>
    <t>GVW (Gross Vehicle Weight)</t>
  </si>
  <si>
    <t>MISC CLASS-D</t>
  </si>
  <si>
    <t>Misc &amp; Others</t>
  </si>
  <si>
    <t>Pedestrian / Agr</t>
  </si>
  <si>
    <t>Agr Trac ≤ 6 HP Trail</t>
  </si>
  <si>
    <t>Trailers of Other Veh</t>
  </si>
  <si>
    <t>Type - Veh/Eqp</t>
  </si>
  <si>
    <t>Misc/Other Veh</t>
  </si>
  <si>
    <t>Veh OD</t>
  </si>
  <si>
    <t>Traier OD</t>
  </si>
  <si>
    <t>Veh TP</t>
  </si>
  <si>
    <t>TP Trailer</t>
  </si>
  <si>
    <t>Over Tuning</t>
  </si>
  <si>
    <t>Own Premises</t>
  </si>
  <si>
    <t>Over Turning Cover, Opted if any</t>
  </si>
  <si>
    <t>E - QUOTE</t>
  </si>
  <si>
    <t>………Copy the required cell and Paste the Content in Mail Box</t>
  </si>
  <si>
    <t>2 Wheeler</t>
  </si>
  <si>
    <t>Private Car</t>
  </si>
  <si>
    <r>
      <t>PCCV (</t>
    </r>
    <r>
      <rPr>
        <b/>
        <sz val="11"/>
        <color indexed="9"/>
        <rFont val="Arial Narrow"/>
        <family val="2"/>
      </rPr>
      <t>Pass)</t>
    </r>
  </si>
  <si>
    <r>
      <t>GCCV (</t>
    </r>
    <r>
      <rPr>
        <b/>
        <sz val="11"/>
        <color indexed="9"/>
        <rFont val="Arial Narrow"/>
        <family val="2"/>
      </rPr>
      <t>Goods</t>
    </r>
    <r>
      <rPr>
        <b/>
        <sz val="11"/>
        <color indexed="9"/>
        <rFont val="Verdana"/>
        <family val="2"/>
      </rPr>
      <t>)</t>
    </r>
  </si>
  <si>
    <t>Misc Veh</t>
  </si>
  <si>
    <t>... Space for Rough Work</t>
  </si>
  <si>
    <t>Concepts of this Program By …</t>
  </si>
  <si>
    <t>Lingachari Gogulamudi BA FIII</t>
  </si>
  <si>
    <t>Oriental Insurance</t>
  </si>
  <si>
    <t>… Best Wishes - Thank You</t>
  </si>
  <si>
    <t>… Pl fill the following details to be appeared Your Identity on Prem Quotes</t>
  </si>
  <si>
    <t>Our Company's Name</t>
  </si>
  <si>
    <t>The Oriental Insurance Company Limited</t>
  </si>
  <si>
    <t>Brief Office Address</t>
  </si>
  <si>
    <t>Name of the User</t>
  </si>
  <si>
    <t>G. Lingachari</t>
  </si>
  <si>
    <t>Designation/Position</t>
  </si>
  <si>
    <t>User's Mobile Num</t>
  </si>
  <si>
    <t>98856 32211</t>
  </si>
  <si>
    <t>Office Phone, if any</t>
  </si>
  <si>
    <t>E-Mail ID of User</t>
  </si>
  <si>
    <t>lingachari@orientalinsurance.co.in</t>
  </si>
  <si>
    <t>TP Rates for/Year</t>
  </si>
  <si>
    <t>Package</t>
  </si>
  <si>
    <t>Pack + NDP</t>
  </si>
  <si>
    <t>Pack + RTI</t>
  </si>
  <si>
    <t>Liability</t>
  </si>
  <si>
    <t>Asked</t>
  </si>
  <si>
    <t>SUMMARISED PREMIUM</t>
  </si>
  <si>
    <t>PCK+NDP+RTI</t>
  </si>
  <si>
    <t>All</t>
  </si>
  <si>
    <t>Pack</t>
  </si>
  <si>
    <t>Liab</t>
  </si>
  <si>
    <t>PCK + NDP + RTI</t>
  </si>
  <si>
    <t>Ele Acc</t>
  </si>
  <si>
    <t>Non Ele</t>
  </si>
  <si>
    <t>IMT 21</t>
  </si>
  <si>
    <t>Disc</t>
  </si>
  <si>
    <t>Anti Th</t>
  </si>
  <si>
    <t>NCB</t>
  </si>
  <si>
    <t>Net OD</t>
  </si>
  <si>
    <t>LL Pass</t>
  </si>
  <si>
    <t>Own PA</t>
  </si>
  <si>
    <t>Driver</t>
  </si>
  <si>
    <t>CNG OD</t>
  </si>
  <si>
    <t>CNG TP</t>
  </si>
  <si>
    <t>Net TP</t>
  </si>
  <si>
    <t>Net Prem</t>
  </si>
  <si>
    <t>Ser Tax</t>
  </si>
  <si>
    <t>Gross Prem</t>
  </si>
  <si>
    <t>Desc</t>
  </si>
  <si>
    <t>Premium Details shown below are not Standard
as prem computed based on the coverage opted</t>
  </si>
  <si>
    <t>Premium Details shown above are not Standard
as prem computed based on the coverage opted</t>
  </si>
  <si>
    <t>Trailer</t>
  </si>
  <si>
    <t>Ele</t>
  </si>
  <si>
    <t>Geog</t>
  </si>
  <si>
    <t>Overturning</t>
  </si>
  <si>
    <t>IMT</t>
  </si>
  <si>
    <t>U/w Disc</t>
  </si>
  <si>
    <t>Anti Theft</t>
  </si>
  <si>
    <t>Owner PA</t>
  </si>
  <si>
    <t>LL to Trailor</t>
  </si>
  <si>
    <t>Drivers</t>
  </si>
  <si>
    <t>LL to CNG</t>
  </si>
  <si>
    <t>Pack+RTI</t>
  </si>
  <si>
    <t>Geog Ext - No</t>
  </si>
  <si>
    <t>Andhra Pradesh</t>
  </si>
  <si>
    <t>New Vehicle</t>
  </si>
  <si>
    <t>S4</t>
  </si>
  <si>
    <t>E3</t>
  </si>
  <si>
    <t>E2</t>
  </si>
  <si>
    <t>E4</t>
  </si>
  <si>
    <t>C1</t>
  </si>
  <si>
    <t>W1</t>
  </si>
  <si>
    <t>W3</t>
  </si>
  <si>
    <t>N4</t>
  </si>
  <si>
    <t>N2</t>
  </si>
  <si>
    <t>S2</t>
  </si>
  <si>
    <t>S3</t>
  </si>
  <si>
    <t>W4</t>
  </si>
  <si>
    <t>W2</t>
  </si>
  <si>
    <t>C2</t>
  </si>
  <si>
    <t>N5</t>
  </si>
  <si>
    <t>S1</t>
  </si>
  <si>
    <t>N3</t>
  </si>
  <si>
    <t>E1</t>
  </si>
  <si>
    <t>Region</t>
  </si>
  <si>
    <t>Model</t>
  </si>
  <si>
    <t>1st Yr Discount</t>
  </si>
  <si>
    <t>2nd Yr Onwards Discount</t>
  </si>
  <si>
    <t>Alto</t>
  </si>
  <si>
    <t>A-Star</t>
  </si>
  <si>
    <t>Baleno</t>
  </si>
  <si>
    <t>Celerio</t>
  </si>
  <si>
    <t>CIAZ</t>
  </si>
  <si>
    <t>CIAZ D</t>
  </si>
  <si>
    <t>Dzire D</t>
  </si>
  <si>
    <t>Dzire P</t>
  </si>
  <si>
    <t>Eeco</t>
  </si>
  <si>
    <t>Ertiga D</t>
  </si>
  <si>
    <t>Ertiga P</t>
  </si>
  <si>
    <t>Esteem</t>
  </si>
  <si>
    <t>Estilo</t>
  </si>
  <si>
    <t>Gypsy</t>
  </si>
  <si>
    <t>Kizashi</t>
  </si>
  <si>
    <t>M800</t>
  </si>
  <si>
    <t>Omni</t>
  </si>
  <si>
    <t>RITZ D</t>
  </si>
  <si>
    <t>RITZ P</t>
  </si>
  <si>
    <t>Swift D</t>
  </si>
  <si>
    <t>Swift P</t>
  </si>
  <si>
    <t>SX4 D</t>
  </si>
  <si>
    <t>SX4 P</t>
  </si>
  <si>
    <t>WagonR</t>
  </si>
  <si>
    <t>Zen</t>
  </si>
  <si>
    <t>Versa</t>
  </si>
  <si>
    <t>Altura</t>
  </si>
  <si>
    <t>CBU</t>
  </si>
  <si>
    <t>Sl</t>
  </si>
  <si>
    <t>Yes 1/Emp</t>
  </si>
  <si>
    <t>2017-18</t>
  </si>
  <si>
    <t>Vitara Brezza</t>
  </si>
  <si>
    <t>2nd Yr Onwards</t>
  </si>
  <si>
    <t>l.gogulamudi@gmail.com</t>
  </si>
  <si>
    <t>805 Per Pass</t>
  </si>
  <si>
    <t>1061 Per Pass</t>
  </si>
  <si>
    <t>C GST</t>
  </si>
  <si>
    <t>S GST</t>
  </si>
  <si>
    <t>W/o Ren Disc</t>
  </si>
  <si>
    <t>Tata Tanker</t>
  </si>
  <si>
    <t>Not Required</t>
  </si>
  <si>
    <t>Below 6 Mths</t>
  </si>
  <si>
    <t>Above 10 Yrs</t>
  </si>
  <si>
    <t>6 Mths - 1 Yr</t>
  </si>
  <si>
    <t>1 Yr - 1.5 Yrs</t>
  </si>
  <si>
    <t>1.5 Yr - 2 Yrs</t>
  </si>
  <si>
    <t>2 Yr  -  3 Yrs</t>
  </si>
  <si>
    <t>3 Yr  -  4 Yrs</t>
  </si>
  <si>
    <t>4 Yr  -  5 Yrs</t>
  </si>
  <si>
    <t>5 Yr  - 10 Yrs</t>
  </si>
  <si>
    <t>1001 - 1500 CC</t>
  </si>
  <si>
    <t>1501 - 2500 CC</t>
  </si>
  <si>
    <t>Above 2500 CC</t>
  </si>
  <si>
    <t>Pack + EPC</t>
  </si>
  <si>
    <t>Pack+NDP+EPC</t>
  </si>
  <si>
    <t>Pack+NDP+RTI</t>
  </si>
  <si>
    <t>CNG / LPG</t>
  </si>
  <si>
    <t>Kit Value</t>
  </si>
  <si>
    <t>Paid Driver</t>
  </si>
  <si>
    <t>EPC Calculation</t>
  </si>
  <si>
    <t>&lt; 10 Lac</t>
  </si>
  <si>
    <t>Final</t>
  </si>
  <si>
    <t>Import</t>
  </si>
  <si>
    <t>SmartCalc… Most Reliable, Simple, Fast and Efficient - Lingachari Oriental</t>
  </si>
  <si>
    <t>Pack+EPC+RTI</t>
  </si>
  <si>
    <t>New Car Discount</t>
  </si>
  <si>
    <t>Arunachal Pradesh</t>
  </si>
  <si>
    <t>Assam</t>
  </si>
  <si>
    <t>Bihar</t>
  </si>
  <si>
    <t>Chattisgarh</t>
  </si>
  <si>
    <t>Delhi</t>
  </si>
  <si>
    <t>Goa</t>
  </si>
  <si>
    <t>Gujarat</t>
  </si>
  <si>
    <t>Haryana</t>
  </si>
  <si>
    <t>Himachal Pradesh</t>
  </si>
  <si>
    <t>Jammu and Kashmir</t>
  </si>
  <si>
    <t>Jharkhand</t>
  </si>
  <si>
    <t>Karnataka</t>
  </si>
  <si>
    <t>Kerala</t>
  </si>
  <si>
    <t>Madhya Pradesh</t>
  </si>
  <si>
    <t>Maharashtra</t>
  </si>
  <si>
    <t>Manipur</t>
  </si>
  <si>
    <t>Meghalaya</t>
  </si>
  <si>
    <t>Mizoram</t>
  </si>
  <si>
    <t>Mumbai City</t>
  </si>
  <si>
    <t>Nagaland</t>
  </si>
  <si>
    <t>National Capital Region (NCR)</t>
  </si>
  <si>
    <t>Odissa</t>
  </si>
  <si>
    <t>Punjab</t>
  </si>
  <si>
    <t>Rajasthan</t>
  </si>
  <si>
    <t>Tamil Nadu</t>
  </si>
  <si>
    <t>Telangana</t>
  </si>
  <si>
    <t>Tripura</t>
  </si>
  <si>
    <t>Uttar Pradesh</t>
  </si>
  <si>
    <t>Uttarakhand</t>
  </si>
  <si>
    <t>West Bengal</t>
  </si>
  <si>
    <t>1 to 2 Years</t>
  </si>
  <si>
    <t>U/w State/Area</t>
  </si>
  <si>
    <t>Fuel - Diesel</t>
  </si>
  <si>
    <t>TP</t>
  </si>
  <si>
    <t>Central GST</t>
  </si>
  <si>
    <t>State GST</t>
  </si>
  <si>
    <t>Total Premium to be Paid, Incl of GST</t>
  </si>
  <si>
    <t>Net Third Party (TP) Premium</t>
  </si>
  <si>
    <t>Total of Both OD &amp; Third Party Sections</t>
  </si>
  <si>
    <t>GST</t>
  </si>
  <si>
    <t>Add-on Covers (With Additional Prem)</t>
  </si>
  <si>
    <t>Yes-Required</t>
  </si>
  <si>
    <t>P+N+R</t>
  </si>
  <si>
    <t>P + N</t>
  </si>
  <si>
    <t>P + R</t>
  </si>
  <si>
    <t>P+N+E</t>
  </si>
  <si>
    <t>P+E+R</t>
  </si>
  <si>
    <t>P+N+E+R</t>
  </si>
  <si>
    <t>P+E</t>
  </si>
  <si>
    <t>TP Only</t>
  </si>
  <si>
    <t>Engine Protect Cover (EPC) - Prem Calculation</t>
  </si>
  <si>
    <t>Basic EPC Premium</t>
  </si>
  <si>
    <t>Net EPC Premium (Excl GST)</t>
  </si>
  <si>
    <t>Vehicle Value (IDV) proposed for</t>
  </si>
  <si>
    <t>&gt;20 Lac</t>
  </si>
  <si>
    <t>Model / Variant</t>
  </si>
  <si>
    <t>Maruti OD Disc Grid (Max Permissible)</t>
  </si>
  <si>
    <r>
      <t xml:space="preserve">Pack + NDP + EPC + RTI  </t>
    </r>
    <r>
      <rPr>
        <sz val="11"/>
        <color indexed="8"/>
        <rFont val="Candara"/>
        <family val="2"/>
      </rPr>
      <t>{Fully Loaded}</t>
    </r>
  </si>
  <si>
    <t>TS09EM4104</t>
  </si>
  <si>
    <t>Enfield Electra</t>
  </si>
  <si>
    <t>AP 99 UB 1234</t>
  </si>
  <si>
    <t>Tata Hitachi</t>
  </si>
  <si>
    <t>Owner PA - Yes</t>
  </si>
  <si>
    <t>We wish our Users all the best and hope that our SmartCalc, may be quite useful</t>
  </si>
  <si>
    <t>Mr. Lingachari Gogulamudi</t>
  </si>
  <si>
    <t>AP 09CR 4190</t>
  </si>
  <si>
    <t>Ford Classic</t>
  </si>
  <si>
    <t>Output of the Quote.. Can be Printed on paper..  And also to be mailed to Clients</t>
  </si>
  <si>
    <t>Calculation of Motor Premium with popular Add-On Covers of Oriental Insurance</t>
  </si>
  <si>
    <t>Prepared, based on IMT Provisions and New TP Rates, Effective from 01 Apr 2018</t>
  </si>
  <si>
    <t>2018-19</t>
  </si>
  <si>
    <t>Concepts: G. Lingachari, AO (Mktg), DO-VI, Begumpet, Hyderabad - 500 016</t>
  </si>
  <si>
    <t>DO-VI, Begumpet, Hyderabad - 500 016</t>
  </si>
  <si>
    <t>AO (Mktg), DO-VI</t>
  </si>
  <si>
    <t>DO-VI, Begumpet, Hyderabad</t>
  </si>
  <si>
    <t>1046 Per Pass</t>
  </si>
  <si>
    <t>880 Per Pass</t>
  </si>
  <si>
    <t>1006 Per Pass</t>
  </si>
  <si>
    <t>1241 Per Pass</t>
  </si>
  <si>
    <t xml:space="preserve">Third Party Premium Rates :: 2018-19 V/s 2017-18 - DIFFERENCE </t>
  </si>
  <si>
    <t>Motor Tariff - TP Prem Rates Effective From 01 Apr 2018 - NEW</t>
  </si>
  <si>
    <t>Motor Tariff - TP Prem Rates Effective From 01 Apr 2017 - OLD</t>
  </si>
  <si>
    <t>040 2340 3147</t>
  </si>
  <si>
    <t>Diff in Prem</t>
  </si>
  <si>
    <t># DO - VI, Snehalatha, Begumpet, Hyderabad - 500 016.</t>
  </si>
  <si>
    <t>Abv 3 Yrs</t>
  </si>
  <si>
    <t>Indigenous</t>
  </si>
  <si>
    <t>No</t>
  </si>
  <si>
    <t>Wider</t>
  </si>
  <si>
    <t>Anti Theft - No</t>
  </si>
  <si>
    <t>CNG/LPG - No</t>
  </si>
  <si>
    <t>Trailors - No</t>
  </si>
  <si>
    <t>No Limit (Wider)</t>
  </si>
  <si>
    <t>Trailors - None</t>
  </si>
  <si>
    <t>PVT CAR - LT</t>
  </si>
  <si>
    <t>TWO WH - LT</t>
  </si>
  <si>
    <t>Liability Only</t>
  </si>
  <si>
    <t>Yes 4/Emp</t>
  </si>
  <si>
    <t>Not Avb</t>
  </si>
  <si>
    <t>For Registration</t>
  </si>
  <si>
    <t>Honda City 1.5</t>
  </si>
  <si>
    <t>Below 75 CC</t>
  </si>
  <si>
    <t>76 - 150 CC</t>
  </si>
  <si>
    <t>151 - 350 CC</t>
  </si>
  <si>
    <t>Zon - A</t>
  </si>
  <si>
    <t>Bundled Policy</t>
  </si>
  <si>
    <t>Zone: A</t>
  </si>
  <si>
    <t>1 Year OD and 5 Years TP</t>
  </si>
  <si>
    <t>5 Years OD and 5 Years TP</t>
  </si>
  <si>
    <t>Bare Package</t>
  </si>
  <si>
    <t>Add-Ons</t>
  </si>
  <si>
    <t>Add-On Covers and Summarised Premium Details</t>
  </si>
  <si>
    <t>Engine Protect</t>
  </si>
  <si>
    <t>Nil Depreciation</t>
  </si>
  <si>
    <t>Return to Invoice</t>
  </si>
  <si>
    <t>BUNDLED POLICY</t>
  </si>
  <si>
    <t>PACKAGE POLICY</t>
  </si>
  <si>
    <t>Long Term - Liability only Policy - 3 Years Third Party</t>
  </si>
  <si>
    <t>Long Term - Package Policy - 3 Years OD &amp; 3 Years TP</t>
  </si>
  <si>
    <t>Long Term - Bundled Policy - 1 Year OD and 3 Years TP</t>
  </si>
  <si>
    <t>Name of the Registered Owner</t>
  </si>
  <si>
    <t>Premium Details shown below are not Standard as premium computed based on the coverage opted</t>
  </si>
  <si>
    <t>5 Yrs Liability Only</t>
  </si>
  <si>
    <t>SUMMARISED PREMIUM DETAILS</t>
  </si>
  <si>
    <t>Net Own Damage (OD) Premium</t>
  </si>
  <si>
    <t>Long Term - Liability only Policy - 5 Years Third Party</t>
  </si>
  <si>
    <t>Long Term - Package Policy - 5 Years OD &amp; 5 Years TP</t>
  </si>
  <si>
    <t>Long Term - Bundled Policy - 1 Year OD and 5 Years TP</t>
  </si>
  <si>
    <t>NDP - Yes</t>
  </si>
  <si>
    <t>RTI - Yes</t>
  </si>
  <si>
    <t>IDV (Insured's Declared Value) of Vehicle</t>
  </si>
  <si>
    <t>Yes (Limited)</t>
  </si>
  <si>
    <t>Mr. Gogulamudi Lingachari</t>
  </si>
  <si>
    <t>Fuel - Others</t>
  </si>
  <si>
    <t>Yes (One Year)</t>
  </si>
  <si>
    <t>No (Deletion)</t>
  </si>
  <si>
    <t>Yes (Three Yrs)</t>
  </si>
  <si>
    <t>Yes (Five Years)</t>
  </si>
  <si>
    <t>TPPD - Limited</t>
  </si>
</sst>
</file>

<file path=xl/styles.xml><?xml version="1.0" encoding="utf-8"?>
<styleSheet xmlns="http://schemas.openxmlformats.org/spreadsheetml/2006/main">
  <numFmts count="4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0.00%"/>
    <numFmt numFmtId="174" formatCode="#,##0.000"/>
    <numFmt numFmtId="175" formatCode="###&quot; Year/s&quot;"/>
    <numFmt numFmtId="176" formatCode="###&quot; CC&quot;"/>
    <numFmt numFmtId="177" formatCode="&quot;Rs.&quot;#,###,###&quot;/-&quot;"/>
    <numFmt numFmtId="178" formatCode="###&quot; YR&quot;"/>
    <numFmt numFmtId="179" formatCode="&quot;Rs.&quot;#,##0&quot;/-&quot;"/>
    <numFmt numFmtId="180" formatCode="##&quot; % NCB&quot;"/>
    <numFmt numFmtId="181" formatCode="##.0000&quot; %&quot;"/>
    <numFmt numFmtId="182" formatCode="&quot;Dated: &quot;dd\ mmm\ yyyy"/>
    <numFmt numFmtId="183" formatCode="###&quot; (Excl Driver)&quot;"/>
    <numFmt numFmtId="184" formatCode="#,##0.0000"/>
    <numFmt numFmtId="185" formatCode="##,###&quot; Kgs&quot;"/>
    <numFmt numFmtId="186" formatCode="##0.00\ &quot;%&quot;"/>
    <numFmt numFmtId="187" formatCode="00"/>
    <numFmt numFmtId="188" formatCode="&quot;Yes&quot;;&quot;Yes&quot;;&quot;No&quot;"/>
    <numFmt numFmtId="189" formatCode="&quot;True&quot;;&quot;True&quot;;&quot;False&quot;"/>
    <numFmt numFmtId="190" formatCode="&quot;On&quot;;&quot;On&quot;;&quot;Off&quot;"/>
    <numFmt numFmtId="191" formatCode="[$€-2]\ #,##0.00_);[Red]\([$€-2]\ #,##0.00\)"/>
    <numFmt numFmtId="192" formatCode="00000"/>
    <numFmt numFmtId="193" formatCode="##0.0000\ &quot;%&quot;"/>
    <numFmt numFmtId="194" formatCode="0.0000"/>
    <numFmt numFmtId="195" formatCode="##.00&quot; %&quot;"/>
  </numFmts>
  <fonts count="197">
    <font>
      <sz val="11"/>
      <color theme="1"/>
      <name val="Calibri"/>
      <family val="2"/>
    </font>
    <font>
      <sz val="11"/>
      <color indexed="8"/>
      <name val="Calibri"/>
      <family val="2"/>
    </font>
    <font>
      <b/>
      <sz val="18"/>
      <color indexed="30"/>
      <name val="Arial Black"/>
      <family val="2"/>
    </font>
    <font>
      <sz val="10"/>
      <color indexed="8"/>
      <name val="Trebuchet MS"/>
      <family val="2"/>
    </font>
    <font>
      <sz val="10"/>
      <name val="Arial"/>
      <family val="2"/>
    </font>
    <font>
      <sz val="9"/>
      <name val="Comic Sans MS"/>
      <family val="4"/>
    </font>
    <font>
      <sz val="8"/>
      <name val="Comic Sans MS"/>
      <family val="4"/>
    </font>
    <font>
      <sz val="9"/>
      <color indexed="40"/>
      <name val="Comic Sans MS"/>
      <family val="4"/>
    </font>
    <font>
      <sz val="10"/>
      <name val="Trebuchet MS"/>
      <family val="2"/>
    </font>
    <font>
      <sz val="10"/>
      <color indexed="40"/>
      <name val="Trebuchet MS"/>
      <family val="2"/>
    </font>
    <font>
      <b/>
      <sz val="10"/>
      <color indexed="9"/>
      <name val="Maiandra GD"/>
      <family val="2"/>
    </font>
    <font>
      <sz val="10"/>
      <name val="Consolas"/>
      <family val="3"/>
    </font>
    <font>
      <sz val="10"/>
      <name val="Maiandra GD"/>
      <family val="2"/>
    </font>
    <font>
      <sz val="10"/>
      <name val="Arial Narrow"/>
      <family val="2"/>
    </font>
    <font>
      <sz val="11"/>
      <color indexed="40"/>
      <name val="Calibri"/>
      <family val="2"/>
    </font>
    <font>
      <sz val="11"/>
      <name val="Calibri"/>
      <family val="2"/>
    </font>
    <font>
      <sz val="10"/>
      <color indexed="9"/>
      <name val="Trebuchet MS"/>
      <family val="2"/>
    </font>
    <font>
      <b/>
      <sz val="10"/>
      <color indexed="8"/>
      <name val="Verdana"/>
      <family val="2"/>
    </font>
    <font>
      <sz val="14"/>
      <color indexed="10"/>
      <name val="Eras Bold ITC"/>
      <family val="2"/>
    </font>
    <font>
      <sz val="12"/>
      <color indexed="8"/>
      <name val="Arial Narrow"/>
      <family val="2"/>
    </font>
    <font>
      <sz val="12"/>
      <color indexed="9"/>
      <name val="Arial Narrow"/>
      <family val="2"/>
    </font>
    <font>
      <sz val="12"/>
      <name val="Arial Narrow"/>
      <family val="2"/>
    </font>
    <font>
      <sz val="10"/>
      <color indexed="8"/>
      <name val="Arial Narrow"/>
      <family val="2"/>
    </font>
    <font>
      <sz val="12"/>
      <color indexed="10"/>
      <name val="Arial Narrow"/>
      <family val="2"/>
    </font>
    <font>
      <sz val="10"/>
      <color indexed="40"/>
      <name val="Arial Narrow"/>
      <family val="2"/>
    </font>
    <font>
      <b/>
      <sz val="10"/>
      <name val="Verdana"/>
      <family val="2"/>
    </font>
    <font>
      <sz val="11"/>
      <color indexed="10"/>
      <name val="Calibri"/>
      <family val="2"/>
    </font>
    <font>
      <b/>
      <sz val="11"/>
      <color indexed="8"/>
      <name val="Trebuchet MS"/>
      <family val="2"/>
    </font>
    <font>
      <b/>
      <sz val="18"/>
      <color indexed="8"/>
      <name val="Verdana"/>
      <family val="2"/>
    </font>
    <font>
      <b/>
      <sz val="14"/>
      <color indexed="8"/>
      <name val="Verdana"/>
      <family val="2"/>
    </font>
    <font>
      <b/>
      <sz val="12"/>
      <color indexed="8"/>
      <name val="Arial"/>
      <family val="2"/>
    </font>
    <font>
      <sz val="10"/>
      <color indexed="8"/>
      <name val="Verdana"/>
      <family val="2"/>
    </font>
    <font>
      <sz val="9"/>
      <color indexed="8"/>
      <name val="Verdana"/>
      <family val="2"/>
    </font>
    <font>
      <sz val="9"/>
      <color indexed="8"/>
      <name val="Arial Narrow"/>
      <family val="2"/>
    </font>
    <font>
      <sz val="10"/>
      <color indexed="9"/>
      <name val="Verdana"/>
      <family val="2"/>
    </font>
    <font>
      <sz val="11"/>
      <color indexed="46"/>
      <name val="Calibri"/>
      <family val="2"/>
    </font>
    <font>
      <b/>
      <sz val="11"/>
      <name val="Trebuchet MS"/>
      <family val="2"/>
    </font>
    <font>
      <sz val="10"/>
      <color indexed="9"/>
      <name val="Arial Narrow"/>
      <family val="2"/>
    </font>
    <font>
      <sz val="11"/>
      <color indexed="9"/>
      <name val="Calibri"/>
      <family val="2"/>
    </font>
    <font>
      <sz val="9"/>
      <color indexed="9"/>
      <name val="Calibri"/>
      <family val="2"/>
    </font>
    <font>
      <b/>
      <sz val="14"/>
      <color indexed="9"/>
      <name val="Verdana"/>
      <family val="2"/>
    </font>
    <font>
      <b/>
      <sz val="11"/>
      <color indexed="40"/>
      <name val="Verdana"/>
      <family val="2"/>
    </font>
    <font>
      <b/>
      <sz val="11"/>
      <color indexed="9"/>
      <name val="Arial Narrow"/>
      <family val="2"/>
    </font>
    <font>
      <b/>
      <sz val="11"/>
      <color indexed="9"/>
      <name val="Verdana"/>
      <family val="2"/>
    </font>
    <font>
      <b/>
      <sz val="11"/>
      <color indexed="8"/>
      <name val="Bookman Old Style"/>
      <family val="1"/>
    </font>
    <font>
      <b/>
      <sz val="11"/>
      <color indexed="8"/>
      <name val="Candara"/>
      <family val="2"/>
    </font>
    <font>
      <sz val="20"/>
      <color indexed="10"/>
      <name val="Eras Bold ITC"/>
      <family val="2"/>
    </font>
    <font>
      <sz val="9"/>
      <color indexed="9"/>
      <name val="Verdana"/>
      <family val="2"/>
    </font>
    <font>
      <u val="single"/>
      <sz val="11"/>
      <color indexed="12"/>
      <name val="Calibri"/>
      <family val="2"/>
    </font>
    <font>
      <sz val="11"/>
      <color indexed="40"/>
      <name val="Arial Narrow"/>
      <family val="2"/>
    </font>
    <font>
      <b/>
      <sz val="11"/>
      <color indexed="8"/>
      <name val="Calibri"/>
      <family val="2"/>
    </font>
    <font>
      <sz val="12"/>
      <name val="Verdana"/>
      <family val="2"/>
    </font>
    <font>
      <sz val="12"/>
      <color indexed="8"/>
      <name val="Verdana"/>
      <family val="2"/>
    </font>
    <font>
      <sz val="10"/>
      <name val="Verdana"/>
      <family val="2"/>
    </font>
    <font>
      <sz val="12"/>
      <name val="Candara"/>
      <family val="2"/>
    </font>
    <font>
      <sz val="8"/>
      <name val="Verdana"/>
      <family val="2"/>
    </font>
    <font>
      <sz val="9"/>
      <color indexed="9"/>
      <name val="Trebuchet MS"/>
      <family val="2"/>
    </font>
    <font>
      <sz val="9"/>
      <color indexed="40"/>
      <name val="Calibri"/>
      <family val="2"/>
    </font>
    <font>
      <sz val="9"/>
      <name val="Calibri"/>
      <family val="2"/>
    </font>
    <font>
      <sz val="9"/>
      <color indexed="8"/>
      <name val="Calibri"/>
      <family val="2"/>
    </font>
    <font>
      <sz val="12"/>
      <name val="Eras Bold ITC"/>
      <family val="2"/>
    </font>
    <font>
      <b/>
      <sz val="18"/>
      <name val="Eras Bold ITC"/>
      <family val="2"/>
    </font>
    <font>
      <sz val="9"/>
      <name val="Verdana"/>
      <family val="2"/>
    </font>
    <font>
      <sz val="12"/>
      <color indexed="8"/>
      <name val="Candara"/>
      <family val="2"/>
    </font>
    <font>
      <sz val="11"/>
      <color indexed="40"/>
      <name val="Verdana"/>
      <family val="2"/>
    </font>
    <font>
      <sz val="11"/>
      <color indexed="8"/>
      <name val="Candara"/>
      <family val="2"/>
    </font>
    <font>
      <sz val="14"/>
      <color indexed="9"/>
      <name val="Eras Demi ITC"/>
      <family val="2"/>
    </font>
    <font>
      <b/>
      <sz val="34"/>
      <name val="Eras Bold ITC"/>
      <family val="2"/>
    </font>
    <font>
      <b/>
      <sz val="56"/>
      <name val="Eras Bold ITC"/>
      <family val="2"/>
    </font>
    <font>
      <b/>
      <sz val="32"/>
      <name val="Eras Bold ITC"/>
      <family val="2"/>
    </font>
    <font>
      <sz val="10"/>
      <color indexed="40"/>
      <name val="Verdana"/>
      <family val="2"/>
    </font>
    <font>
      <sz val="11"/>
      <color indexed="8"/>
      <name val="Verdana"/>
      <family val="2"/>
    </font>
    <font>
      <sz val="10"/>
      <name val="Eras Demi ITC"/>
      <family val="2"/>
    </font>
    <font>
      <b/>
      <sz val="10"/>
      <name val="Eras Light ITC"/>
      <family val="2"/>
    </font>
    <font>
      <b/>
      <sz val="16"/>
      <color indexed="8"/>
      <name val="Arial Rounded MT Bold"/>
      <family val="2"/>
    </font>
    <font>
      <b/>
      <sz val="22"/>
      <color indexed="8"/>
      <name val="Arial Rounded MT Bold"/>
      <family val="2"/>
    </font>
    <font>
      <b/>
      <sz val="12"/>
      <color indexed="8"/>
      <name val="Trebuchet MS"/>
      <family val="2"/>
    </font>
    <font>
      <b/>
      <sz val="12"/>
      <color indexed="8"/>
      <name val="Arial Narrow"/>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2"/>
      <color indexed="36"/>
      <name val="Candara"/>
      <family val="2"/>
    </font>
    <font>
      <sz val="10"/>
      <color indexed="10"/>
      <name val="Trebuchet MS"/>
      <family val="2"/>
    </font>
    <font>
      <b/>
      <sz val="10"/>
      <color indexed="10"/>
      <name val="Trebuchet MS"/>
      <family val="2"/>
    </font>
    <font>
      <sz val="10"/>
      <color indexed="51"/>
      <name val="Trebuchet MS"/>
      <family val="2"/>
    </font>
    <font>
      <sz val="11"/>
      <color indexed="51"/>
      <name val="Calibri"/>
      <family val="2"/>
    </font>
    <font>
      <sz val="10"/>
      <color indexed="10"/>
      <name val="Arial Narrow"/>
      <family val="2"/>
    </font>
    <font>
      <sz val="11"/>
      <color indexed="9"/>
      <name val="Trebuchet MS"/>
      <family val="2"/>
    </font>
    <font>
      <b/>
      <sz val="10"/>
      <color indexed="10"/>
      <name val="Arial Narrow"/>
      <family val="2"/>
    </font>
    <font>
      <b/>
      <sz val="10"/>
      <color indexed="8"/>
      <name val="Arial Narrow"/>
      <family val="2"/>
    </font>
    <font>
      <sz val="10"/>
      <color indexed="12"/>
      <name val="Verdana"/>
      <family val="2"/>
    </font>
    <font>
      <sz val="11"/>
      <color indexed="21"/>
      <name val="Calibri"/>
      <family val="2"/>
    </font>
    <font>
      <sz val="11"/>
      <color indexed="8"/>
      <name val="Trebuchet MS"/>
      <family val="2"/>
    </font>
    <font>
      <sz val="10"/>
      <color indexed="49"/>
      <name val="Trebuchet MS"/>
      <family val="2"/>
    </font>
    <font>
      <sz val="11"/>
      <color indexed="49"/>
      <name val="Calibri"/>
      <family val="2"/>
    </font>
    <font>
      <sz val="9"/>
      <color indexed="49"/>
      <name val="Arial"/>
      <family val="2"/>
    </font>
    <font>
      <sz val="5"/>
      <color indexed="17"/>
      <name val="Verdana"/>
      <family val="2"/>
    </font>
    <font>
      <sz val="9"/>
      <color indexed="9"/>
      <name val="Candara"/>
      <family val="2"/>
    </font>
    <font>
      <b/>
      <sz val="14"/>
      <color indexed="9"/>
      <name val="Candara"/>
      <family val="2"/>
    </font>
    <font>
      <b/>
      <sz val="22"/>
      <color indexed="42"/>
      <name val="Verdana"/>
      <family val="2"/>
    </font>
    <font>
      <sz val="8"/>
      <color indexed="9"/>
      <name val="Calibri"/>
      <family val="2"/>
    </font>
    <font>
      <sz val="12"/>
      <color indexed="8"/>
      <name val="Eras Bold ITC"/>
      <family val="2"/>
    </font>
    <font>
      <b/>
      <sz val="9"/>
      <color indexed="9"/>
      <name val="Verdana"/>
      <family val="2"/>
    </font>
    <font>
      <b/>
      <sz val="12"/>
      <color indexed="8"/>
      <name val="Candara"/>
      <family val="2"/>
    </font>
    <font>
      <sz val="16"/>
      <color indexed="9"/>
      <name val="Eras Bold ITC"/>
      <family val="2"/>
    </font>
    <font>
      <b/>
      <sz val="16"/>
      <color indexed="9"/>
      <name val="Eras Bold ITC"/>
      <family val="2"/>
    </font>
    <font>
      <b/>
      <sz val="16"/>
      <color indexed="9"/>
      <name val="Arial Rounded MT Bold"/>
      <family val="2"/>
    </font>
    <font>
      <b/>
      <sz val="12"/>
      <color indexed="9"/>
      <name val="Candara"/>
      <family val="2"/>
    </font>
    <font>
      <b/>
      <sz val="11"/>
      <color indexed="9"/>
      <name val="Candara"/>
      <family val="2"/>
    </font>
    <font>
      <b/>
      <sz val="18"/>
      <color indexed="9"/>
      <name val="Candara"/>
      <family val="2"/>
    </font>
    <font>
      <sz val="12"/>
      <color indexed="9"/>
      <name val="Cooper Black"/>
      <family val="1"/>
    </font>
    <font>
      <sz val="14"/>
      <color indexed="9"/>
      <name val="Verdana"/>
      <family val="2"/>
    </font>
    <font>
      <b/>
      <sz val="10"/>
      <color indexed="9"/>
      <name val="Verdana"/>
      <family val="2"/>
    </font>
    <font>
      <b/>
      <sz val="10"/>
      <color indexed="9"/>
      <name val="Candara"/>
      <family val="2"/>
    </font>
    <font>
      <b/>
      <sz val="12"/>
      <color indexed="9"/>
      <name val="Verdana"/>
      <family val="2"/>
    </font>
    <font>
      <sz val="11"/>
      <color indexed="9"/>
      <name val="Verdana"/>
      <family val="2"/>
    </font>
    <font>
      <b/>
      <sz val="14"/>
      <color indexed="9"/>
      <name val="Eras Demi ITC"/>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7030A0"/>
      <name val="Candara"/>
      <family val="2"/>
    </font>
    <font>
      <sz val="10"/>
      <color rgb="FFFF0000"/>
      <name val="Trebuchet MS"/>
      <family val="2"/>
    </font>
    <font>
      <sz val="11"/>
      <color rgb="FF00CCFF"/>
      <name val="Calibri"/>
      <family val="2"/>
    </font>
    <font>
      <b/>
      <sz val="10"/>
      <color rgb="FFFF0000"/>
      <name val="Trebuchet MS"/>
      <family val="2"/>
    </font>
    <font>
      <sz val="10"/>
      <color rgb="FFFFC000"/>
      <name val="Trebuchet MS"/>
      <family val="2"/>
    </font>
    <font>
      <sz val="11"/>
      <color rgb="FFFFC000"/>
      <name val="Calibri"/>
      <family val="2"/>
    </font>
    <font>
      <sz val="10"/>
      <color rgb="FFFF0000"/>
      <name val="Arial Narrow"/>
      <family val="2"/>
    </font>
    <font>
      <sz val="10"/>
      <color theme="0"/>
      <name val="Trebuchet MS"/>
      <family val="2"/>
    </font>
    <font>
      <sz val="10"/>
      <color theme="1"/>
      <name val="Trebuchet MS"/>
      <family val="2"/>
    </font>
    <font>
      <sz val="11"/>
      <color theme="0"/>
      <name val="Trebuchet MS"/>
      <family val="2"/>
    </font>
    <font>
      <b/>
      <sz val="10"/>
      <color rgb="FFFF0000"/>
      <name val="Arial Narrow"/>
      <family val="2"/>
    </font>
    <font>
      <sz val="10"/>
      <color theme="1"/>
      <name val="Arial Narrow"/>
      <family val="2"/>
    </font>
    <font>
      <b/>
      <sz val="10"/>
      <color theme="1"/>
      <name val="Arial Narrow"/>
      <family val="2"/>
    </font>
    <font>
      <sz val="11"/>
      <color rgb="FF0099FF"/>
      <name val="Calibri"/>
      <family val="2"/>
    </font>
    <font>
      <b/>
      <sz val="11"/>
      <color theme="0"/>
      <name val="Verdana"/>
      <family val="2"/>
    </font>
    <font>
      <sz val="10"/>
      <color rgb="FF0000FF"/>
      <name val="Verdana"/>
      <family val="2"/>
    </font>
    <font>
      <sz val="11"/>
      <color rgb="FF008080"/>
      <name val="Calibri"/>
      <family val="2"/>
    </font>
    <font>
      <sz val="11"/>
      <color theme="1"/>
      <name val="Trebuchet MS"/>
      <family val="2"/>
    </font>
    <font>
      <sz val="10"/>
      <color theme="8" tint="-0.24997000396251678"/>
      <name val="Trebuchet MS"/>
      <family val="2"/>
    </font>
    <font>
      <sz val="11"/>
      <color theme="8" tint="-0.24997000396251678"/>
      <name val="Calibri"/>
      <family val="2"/>
    </font>
    <font>
      <sz val="9"/>
      <color theme="8" tint="-0.24997000396251678"/>
      <name val="Arial"/>
      <family val="2"/>
    </font>
    <font>
      <sz val="5"/>
      <color rgb="FF00B050"/>
      <name val="Verdana"/>
      <family val="2"/>
    </font>
    <font>
      <sz val="9"/>
      <color theme="0"/>
      <name val="Candara"/>
      <family val="2"/>
    </font>
    <font>
      <sz val="10"/>
      <color theme="0"/>
      <name val="Arial Narrow"/>
      <family val="2"/>
    </font>
    <font>
      <b/>
      <sz val="14"/>
      <color theme="0"/>
      <name val="Candara"/>
      <family val="2"/>
    </font>
    <font>
      <b/>
      <sz val="22"/>
      <color theme="6" tint="0.7999799847602844"/>
      <name val="Verdana"/>
      <family val="2"/>
    </font>
    <font>
      <sz val="8"/>
      <color theme="0"/>
      <name val="Calibri"/>
      <family val="2"/>
    </font>
    <font>
      <sz val="10"/>
      <color theme="0"/>
      <name val="Verdana"/>
      <family val="2"/>
    </font>
    <font>
      <sz val="12"/>
      <color theme="1"/>
      <name val="Candara"/>
      <family val="2"/>
    </font>
    <font>
      <sz val="12"/>
      <color theme="1"/>
      <name val="Eras Bold ITC"/>
      <family val="2"/>
    </font>
    <font>
      <b/>
      <sz val="9"/>
      <color theme="0"/>
      <name val="Verdana"/>
      <family val="2"/>
    </font>
    <font>
      <sz val="12"/>
      <color theme="1"/>
      <name val="Verdana"/>
      <family val="2"/>
    </font>
    <font>
      <sz val="9"/>
      <color theme="0"/>
      <name val="Verdana"/>
      <family val="2"/>
    </font>
    <font>
      <sz val="9"/>
      <color theme="0"/>
      <name val="Trebuchet MS"/>
      <family val="2"/>
    </font>
    <font>
      <b/>
      <sz val="12"/>
      <color theme="1"/>
      <name val="Candara"/>
      <family val="2"/>
    </font>
    <font>
      <b/>
      <sz val="16"/>
      <color theme="0"/>
      <name val="Arial Rounded MT Bold"/>
      <family val="2"/>
    </font>
    <font>
      <b/>
      <sz val="22"/>
      <color theme="1"/>
      <name val="Arial Rounded MT Bold"/>
      <family val="2"/>
    </font>
    <font>
      <sz val="16"/>
      <color theme="0"/>
      <name val="Eras Bold ITC"/>
      <family val="2"/>
    </font>
    <font>
      <b/>
      <sz val="16"/>
      <color theme="0"/>
      <name val="Eras Bold ITC"/>
      <family val="2"/>
    </font>
    <font>
      <b/>
      <sz val="10"/>
      <color theme="0"/>
      <name val="Verdana"/>
      <family val="2"/>
    </font>
    <font>
      <sz val="12"/>
      <color theme="0"/>
      <name val="Cooper Black"/>
      <family val="1"/>
    </font>
    <font>
      <sz val="14"/>
      <color theme="0"/>
      <name val="Verdana"/>
      <family val="2"/>
    </font>
    <font>
      <b/>
      <sz val="11"/>
      <color theme="0"/>
      <name val="Candara"/>
      <family val="2"/>
    </font>
    <font>
      <b/>
      <sz val="18"/>
      <color theme="0"/>
      <name val="Candara"/>
      <family val="2"/>
    </font>
    <font>
      <b/>
      <sz val="12"/>
      <color theme="0"/>
      <name val="Candara"/>
      <family val="2"/>
    </font>
    <font>
      <b/>
      <sz val="14"/>
      <color theme="0"/>
      <name val="Verdana"/>
      <family val="2"/>
    </font>
    <font>
      <b/>
      <sz val="10"/>
      <color theme="0"/>
      <name val="Candara"/>
      <family val="2"/>
    </font>
    <font>
      <b/>
      <sz val="10"/>
      <color theme="1"/>
      <name val="Verdana"/>
      <family val="2"/>
    </font>
    <font>
      <b/>
      <sz val="12"/>
      <color theme="0"/>
      <name val="Verdana"/>
      <family val="2"/>
    </font>
    <font>
      <sz val="14"/>
      <color theme="0"/>
      <name val="Eras Demi ITC"/>
      <family val="2"/>
    </font>
    <font>
      <sz val="11"/>
      <color theme="0"/>
      <name val="Verdana"/>
      <family val="2"/>
    </font>
    <font>
      <b/>
      <sz val="14"/>
      <color theme="0"/>
      <name val="Eras Demi ITC"/>
      <family val="2"/>
    </font>
  </fonts>
  <fills count="1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7030A0"/>
        <bgColor indexed="64"/>
      </patternFill>
    </fill>
    <fill>
      <patternFill patternType="solid">
        <fgColor rgb="FF009A3E"/>
        <bgColor indexed="64"/>
      </patternFill>
    </fill>
    <fill>
      <patternFill patternType="solid">
        <fgColor rgb="FFFFC000"/>
        <bgColor indexed="64"/>
      </patternFill>
    </fill>
    <fill>
      <patternFill patternType="solid">
        <fgColor theme="0"/>
        <bgColor indexed="64"/>
      </patternFill>
    </fill>
    <fill>
      <patternFill patternType="solid">
        <fgColor theme="0"/>
        <bgColor indexed="64"/>
      </patternFill>
    </fill>
    <fill>
      <patternFill patternType="solid">
        <fgColor indexed="53"/>
        <bgColor indexed="64"/>
      </patternFill>
    </fill>
    <fill>
      <patternFill patternType="solid">
        <fgColor indexed="40"/>
        <bgColor indexed="64"/>
      </patternFill>
    </fill>
    <fill>
      <patternFill patternType="solid">
        <fgColor rgb="FF00CCFF"/>
        <bgColor indexed="64"/>
      </patternFill>
    </fill>
    <fill>
      <patternFill patternType="solid">
        <fgColor rgb="FF00CCFF"/>
        <bgColor indexed="64"/>
      </patternFill>
    </fill>
    <fill>
      <patternFill patternType="solid">
        <fgColor rgb="FFFFC000"/>
        <bgColor indexed="64"/>
      </patternFill>
    </fill>
    <fill>
      <patternFill patternType="solid">
        <fgColor indexed="31"/>
        <bgColor indexed="64"/>
      </patternFill>
    </fill>
    <fill>
      <patternFill patternType="solid">
        <fgColor rgb="FFDBE5F1"/>
        <bgColor indexed="64"/>
      </patternFill>
    </fill>
    <fill>
      <patternFill patternType="solid">
        <fgColor indexed="10"/>
        <bgColor indexed="64"/>
      </patternFill>
    </fill>
    <fill>
      <patternFill patternType="solid">
        <fgColor rgb="FFCCCCFF"/>
        <bgColor indexed="64"/>
      </patternFill>
    </fill>
    <fill>
      <patternFill patternType="solid">
        <fgColor indexed="41"/>
        <bgColor indexed="64"/>
      </patternFill>
    </fill>
    <fill>
      <patternFill patternType="solid">
        <fgColor theme="9" tint="0.5999900102615356"/>
        <bgColor indexed="64"/>
      </patternFill>
    </fill>
    <fill>
      <patternFill patternType="solid">
        <fgColor rgb="FF00CCFF"/>
        <bgColor indexed="64"/>
      </patternFill>
    </fill>
    <fill>
      <patternFill patternType="solid">
        <fgColor indexed="46"/>
        <bgColor indexed="64"/>
      </patternFill>
    </fill>
    <fill>
      <patternFill patternType="solid">
        <fgColor rgb="FFCCCCFF"/>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
      <patternFill patternType="solid">
        <fgColor rgb="FFFF0000"/>
        <bgColor indexed="64"/>
      </patternFill>
    </fill>
    <fill>
      <patternFill patternType="solid">
        <fgColor rgb="FFFF0000"/>
        <bgColor indexed="64"/>
      </patternFill>
    </fill>
    <fill>
      <patternFill patternType="solid">
        <fgColor rgb="FFFFFF00"/>
        <bgColor indexed="64"/>
      </patternFill>
    </fill>
    <fill>
      <patternFill patternType="solid">
        <fgColor rgb="FFFFC000"/>
        <bgColor indexed="64"/>
      </patternFill>
    </fill>
    <fill>
      <patternFill patternType="solid">
        <fgColor indexed="8"/>
        <bgColor indexed="64"/>
      </patternFill>
    </fill>
    <fill>
      <patternFill patternType="solid">
        <fgColor rgb="FFCC99FF"/>
        <bgColor indexed="64"/>
      </patternFill>
    </fill>
    <fill>
      <patternFill patternType="solid">
        <fgColor rgb="FFCC99FF"/>
        <bgColor indexed="64"/>
      </patternFill>
    </fill>
    <fill>
      <patternFill patternType="solid">
        <fgColor rgb="FFCC99FF"/>
        <bgColor indexed="64"/>
      </patternFill>
    </fill>
    <fill>
      <patternFill patternType="solid">
        <fgColor rgb="FFCC99FF"/>
        <bgColor indexed="64"/>
      </patternFill>
    </fill>
    <fill>
      <patternFill patternType="solid">
        <fgColor theme="9" tint="0.39998000860214233"/>
        <bgColor indexed="64"/>
      </patternFill>
    </fill>
    <fill>
      <patternFill patternType="solid">
        <fgColor rgb="FFFFFF00"/>
        <bgColor indexed="64"/>
      </patternFill>
    </fill>
    <fill>
      <patternFill patternType="solid">
        <fgColor rgb="FF00B0F0"/>
        <bgColor indexed="64"/>
      </patternFill>
    </fill>
    <fill>
      <patternFill patternType="solid">
        <fgColor rgb="FFFFFF00"/>
        <bgColor indexed="64"/>
      </patternFill>
    </fill>
    <fill>
      <patternFill patternType="solid">
        <fgColor rgb="FFFFFF00"/>
        <bgColor indexed="64"/>
      </patternFill>
    </fill>
    <fill>
      <patternFill patternType="solid">
        <fgColor rgb="FF008080"/>
        <bgColor indexed="64"/>
      </patternFill>
    </fill>
    <fill>
      <patternFill patternType="solid">
        <fgColor theme="8" tint="-0.24997000396251678"/>
        <bgColor indexed="64"/>
      </patternFill>
    </fill>
    <fill>
      <patternFill patternType="solid">
        <fgColor rgb="FFFF3300"/>
        <bgColor indexed="64"/>
      </patternFill>
    </fill>
    <fill>
      <patternFill patternType="solid">
        <fgColor rgb="FFFF3300"/>
        <bgColor indexed="64"/>
      </patternFill>
    </fill>
    <fill>
      <patternFill patternType="solid">
        <fgColor theme="1" tint="0.34999001026153564"/>
        <bgColor indexed="64"/>
      </patternFill>
    </fill>
    <fill>
      <patternFill patternType="solid">
        <fgColor rgb="FF7030A0"/>
        <bgColor indexed="64"/>
      </patternFill>
    </fill>
    <fill>
      <patternFill patternType="solid">
        <fgColor theme="4" tint="0.7999799847602844"/>
        <bgColor indexed="64"/>
      </patternFill>
    </fill>
    <fill>
      <patternFill patternType="solid">
        <fgColor rgb="FF7030A0"/>
        <bgColor indexed="64"/>
      </patternFill>
    </fill>
    <fill>
      <patternFill patternType="solid">
        <fgColor theme="4" tint="0.7999799847602844"/>
        <bgColor indexed="64"/>
      </patternFill>
    </fill>
    <fill>
      <patternFill patternType="solid">
        <fgColor rgb="FF7030A0"/>
        <bgColor indexed="64"/>
      </patternFill>
    </fill>
    <fill>
      <patternFill patternType="solid">
        <fgColor rgb="FF00B0F0"/>
        <bgColor indexed="64"/>
      </patternFill>
    </fill>
    <fill>
      <patternFill patternType="solid">
        <fgColor theme="8" tint="-0.24997000396251678"/>
        <bgColor indexed="64"/>
      </patternFill>
    </fill>
    <fill>
      <patternFill patternType="solid">
        <fgColor theme="4" tint="0.7999799847602844"/>
        <bgColor indexed="64"/>
      </patternFill>
    </fill>
    <fill>
      <patternFill patternType="solid">
        <fgColor rgb="FFDBE5F1"/>
        <bgColor indexed="64"/>
      </patternFill>
    </fill>
    <fill>
      <patternFill patternType="solid">
        <fgColor theme="8" tint="0.7999799847602844"/>
        <bgColor indexed="64"/>
      </patternFill>
    </fill>
    <fill>
      <patternFill patternType="solid">
        <fgColor rgb="FFDBEEF3"/>
        <bgColor indexed="64"/>
      </patternFill>
    </fill>
    <fill>
      <patternFill patternType="solid">
        <fgColor rgb="FFDBEEF3"/>
        <bgColor indexed="64"/>
      </patternFill>
    </fill>
    <fill>
      <patternFill patternType="solid">
        <fgColor rgb="FFFF0000"/>
        <bgColor indexed="64"/>
      </patternFill>
    </fill>
    <fill>
      <patternFill patternType="solid">
        <fgColor theme="1"/>
        <bgColor indexed="64"/>
      </patternFill>
    </fill>
    <fill>
      <patternFill patternType="solid">
        <fgColor theme="1"/>
        <bgColor indexed="64"/>
      </patternFill>
    </fill>
    <fill>
      <patternFill patternType="solid">
        <fgColor rgb="FFFF0000"/>
        <bgColor indexed="64"/>
      </patternFill>
    </fill>
    <fill>
      <patternFill patternType="solid">
        <fgColor rgb="FF00B0F0"/>
        <bgColor indexed="64"/>
      </patternFill>
    </fill>
    <fill>
      <patternFill patternType="solid">
        <fgColor rgb="FFCCCCFF"/>
        <bgColor indexed="64"/>
      </patternFill>
    </fill>
    <fill>
      <patternFill patternType="solid">
        <fgColor theme="1"/>
        <bgColor indexed="64"/>
      </patternFill>
    </fill>
    <fill>
      <patternFill patternType="solid">
        <fgColor rgb="FF0070C0"/>
        <bgColor indexed="64"/>
      </patternFill>
    </fill>
    <fill>
      <patternFill patternType="solid">
        <fgColor rgb="FF00B050"/>
        <bgColor indexed="64"/>
      </patternFill>
    </fill>
    <fill>
      <patternFill patternType="solid">
        <fgColor rgb="FFFFC000"/>
        <bgColor indexed="64"/>
      </patternFill>
    </fill>
    <fill>
      <patternFill patternType="solid">
        <fgColor rgb="FFCC99FF"/>
        <bgColor indexed="64"/>
      </patternFill>
    </fill>
    <fill>
      <patternFill patternType="solid">
        <fgColor theme="7" tint="0.5999900102615356"/>
        <bgColor indexed="64"/>
      </patternFill>
    </fill>
    <fill>
      <patternFill patternType="solid">
        <fgColor rgb="FFCCC0DA"/>
        <bgColor indexed="64"/>
      </patternFill>
    </fill>
    <fill>
      <patternFill patternType="solid">
        <fgColor rgb="FFFFFFFF"/>
        <bgColor indexed="64"/>
      </patternFill>
    </fill>
    <fill>
      <patternFill patternType="solid">
        <fgColor indexed="51"/>
        <bgColor indexed="64"/>
      </patternFill>
    </fill>
    <fill>
      <patternFill patternType="solid">
        <fgColor indexed="51"/>
        <bgColor indexed="64"/>
      </patternFill>
    </fill>
    <fill>
      <patternFill patternType="solid">
        <fgColor indexed="13"/>
        <bgColor indexed="64"/>
      </patternFill>
    </fill>
    <fill>
      <patternFill patternType="solid">
        <fgColor rgb="FFFF9900"/>
        <bgColor indexed="64"/>
      </patternFill>
    </fill>
    <fill>
      <patternFill patternType="solid">
        <fgColor theme="0" tint="-0.04997999966144562"/>
        <bgColor indexed="64"/>
      </patternFill>
    </fill>
    <fill>
      <patternFill patternType="solid">
        <fgColor rgb="FF00B050"/>
        <bgColor indexed="64"/>
      </patternFill>
    </fill>
    <fill>
      <patternFill patternType="solid">
        <fgColor theme="1"/>
        <bgColor indexed="64"/>
      </patternFill>
    </fill>
    <fill>
      <patternFill patternType="solid">
        <fgColor theme="8" tint="0.5999900102615356"/>
        <bgColor indexed="64"/>
      </patternFill>
    </fill>
    <fill>
      <patternFill patternType="solid">
        <fgColor rgb="FFFF8080"/>
        <bgColor indexed="64"/>
      </patternFill>
    </fill>
    <fill>
      <patternFill patternType="solid">
        <fgColor rgb="FFFF8080"/>
        <bgColor indexed="64"/>
      </patternFill>
    </fill>
    <fill>
      <patternFill patternType="solid">
        <fgColor rgb="FFB6DDE8"/>
        <bgColor indexed="64"/>
      </patternFill>
    </fill>
    <fill>
      <patternFill patternType="solid">
        <fgColor rgb="FFB6DDE8"/>
        <bgColor indexed="64"/>
      </patternFill>
    </fill>
    <fill>
      <patternFill patternType="solid">
        <fgColor theme="4" tint="0.5999900102615356"/>
        <bgColor indexed="64"/>
      </patternFill>
    </fill>
    <fill>
      <patternFill patternType="solid">
        <fgColor theme="7" tint="0.5999900102615356"/>
        <bgColor indexed="64"/>
      </patternFill>
    </fill>
    <fill>
      <patternFill patternType="solid">
        <fgColor rgb="FF002060"/>
        <bgColor indexed="64"/>
      </patternFill>
    </fill>
    <fill>
      <patternFill patternType="solid">
        <fgColor theme="7" tint="0.7999799847602844"/>
        <bgColor indexed="64"/>
      </patternFill>
    </fill>
    <fill>
      <patternFill patternType="solid">
        <fgColor rgb="FF00B050"/>
        <bgColor indexed="64"/>
      </patternFill>
    </fill>
    <fill>
      <patternFill patternType="solid">
        <fgColor indexed="62"/>
        <bgColor indexed="64"/>
      </patternFill>
    </fill>
    <fill>
      <patternFill patternType="solid">
        <fgColor rgb="FF008000"/>
        <bgColor indexed="64"/>
      </patternFill>
    </fill>
    <fill>
      <patternFill patternType="solid">
        <fgColor indexed="17"/>
        <bgColor indexed="64"/>
      </patternFill>
    </fill>
    <fill>
      <patternFill patternType="solid">
        <fgColor rgb="FF008000"/>
        <bgColor indexed="64"/>
      </patternFill>
    </fill>
    <fill>
      <patternFill patternType="solid">
        <fgColor rgb="FFFF0000"/>
        <bgColor indexed="64"/>
      </patternFill>
    </fill>
    <fill>
      <patternFill patternType="solid">
        <fgColor rgb="FF002060"/>
        <bgColor indexed="64"/>
      </patternFill>
    </fill>
    <fill>
      <patternFill patternType="solid">
        <fgColor indexed="27"/>
        <bgColor indexed="64"/>
      </patternFill>
    </fill>
    <fill>
      <patternFill patternType="solid">
        <fgColor rgb="FFFF0000"/>
        <bgColor indexed="64"/>
      </patternFill>
    </fill>
    <fill>
      <patternFill patternType="solid">
        <fgColor rgb="FF00B050"/>
        <bgColor indexed="64"/>
      </patternFill>
    </fill>
    <fill>
      <patternFill patternType="solid">
        <fgColor theme="1"/>
        <bgColor indexed="64"/>
      </patternFill>
    </fill>
    <fill>
      <patternFill patternType="solid">
        <fgColor rgb="FFFFFF00"/>
        <bgColor indexed="64"/>
      </patternFill>
    </fill>
    <fill>
      <patternFill patternType="solid">
        <fgColor rgb="FFFF0000"/>
        <bgColor indexed="64"/>
      </patternFill>
    </fill>
    <fill>
      <patternFill patternType="solid">
        <fgColor rgb="FFCCC0DA"/>
        <bgColor indexed="64"/>
      </patternFill>
    </fill>
    <fill>
      <patternFill patternType="solid">
        <fgColor rgb="FF0070C0"/>
        <bgColor indexed="64"/>
      </patternFill>
    </fill>
    <fill>
      <patternFill patternType="solid">
        <fgColor rgb="FF00B050"/>
        <bgColor indexed="64"/>
      </patternFill>
    </fill>
    <fill>
      <patternFill patternType="solid">
        <fgColor rgb="FFDBE5F1"/>
        <bgColor indexed="64"/>
      </patternFill>
    </fill>
    <fill>
      <patternFill patternType="solid">
        <fgColor theme="1"/>
        <bgColor indexed="64"/>
      </patternFill>
    </fill>
    <fill>
      <patternFill patternType="solid">
        <fgColor theme="1"/>
        <bgColor indexed="64"/>
      </patternFill>
    </fill>
    <fill>
      <patternFill patternType="solid">
        <fgColor rgb="FF002060"/>
        <bgColor indexed="64"/>
      </patternFill>
    </fill>
    <fill>
      <patternFill patternType="solid">
        <fgColor theme="1"/>
        <bgColor indexed="64"/>
      </patternFill>
    </fill>
    <fill>
      <patternFill patternType="solid">
        <fgColor theme="7" tint="-0.24997000396251678"/>
        <bgColor indexed="64"/>
      </patternFill>
    </fill>
    <fill>
      <patternFill patternType="solid">
        <fgColor theme="8" tint="-0.24997000396251678"/>
        <bgColor indexed="64"/>
      </patternFill>
    </fill>
    <fill>
      <patternFill patternType="solid">
        <fgColor rgb="FF002060"/>
        <bgColor indexed="64"/>
      </patternFill>
    </fill>
    <fill>
      <patternFill patternType="solid">
        <fgColor rgb="FF7030A0"/>
        <bgColor indexed="64"/>
      </patternFill>
    </fill>
  </fills>
  <borders count="1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rgb="FFFFFF00"/>
      </left>
      <right>
        <color indexed="63"/>
      </right>
      <top>
        <color indexed="63"/>
      </top>
      <bottom>
        <color indexed="63"/>
      </bottom>
    </border>
    <border>
      <left>
        <color indexed="63"/>
      </left>
      <right style="medium">
        <color rgb="FFFFFF00"/>
      </right>
      <top>
        <color indexed="63"/>
      </top>
      <bottom>
        <color indexed="63"/>
      </bottom>
    </border>
    <border>
      <left style="medium">
        <color rgb="FFFFFF00"/>
      </left>
      <right>
        <color indexed="63"/>
      </right>
      <top>
        <color indexed="63"/>
      </top>
      <bottom style="medium">
        <color rgb="FFFFFF00"/>
      </bottom>
    </border>
    <border>
      <left>
        <color indexed="63"/>
      </left>
      <right>
        <color indexed="63"/>
      </right>
      <top>
        <color indexed="63"/>
      </top>
      <bottom style="medium">
        <color rgb="FFFFFF00"/>
      </bottom>
    </border>
    <border>
      <left>
        <color indexed="63"/>
      </left>
      <right style="medium">
        <color rgb="FFFFFF00"/>
      </right>
      <top>
        <color indexed="63"/>
      </top>
      <bottom style="medium">
        <color rgb="FFFFFF00"/>
      </bottom>
    </border>
    <border>
      <left style="double">
        <color indexed="13"/>
      </left>
      <right>
        <color indexed="63"/>
      </right>
      <top>
        <color indexed="63"/>
      </top>
      <bottom>
        <color indexed="63"/>
      </bottom>
    </border>
    <border>
      <left style="double">
        <color indexed="13"/>
      </left>
      <right>
        <color indexed="63"/>
      </right>
      <top style="double">
        <color indexed="13"/>
      </top>
      <bottom>
        <color indexed="63"/>
      </bottom>
    </border>
    <border>
      <left>
        <color indexed="63"/>
      </left>
      <right style="thin">
        <color indexed="8"/>
      </right>
      <top>
        <color indexed="63"/>
      </top>
      <bottom>
        <color indexed="63"/>
      </bottom>
    </border>
    <border>
      <left>
        <color indexed="63"/>
      </left>
      <right>
        <color indexed="63"/>
      </right>
      <top>
        <color indexed="63"/>
      </top>
      <bottom style="hair">
        <color indexed="8"/>
      </bottom>
    </border>
    <border>
      <left>
        <color indexed="63"/>
      </left>
      <right>
        <color indexed="63"/>
      </right>
      <top style="hair">
        <color indexed="8"/>
      </top>
      <bottom style="hair">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color indexed="8"/>
      </left>
      <right style="thin">
        <color indexed="8"/>
      </right>
      <top style="thin"/>
      <bottom>
        <color indexed="63"/>
      </bottom>
    </border>
    <border>
      <left style="thin">
        <color indexed="8"/>
      </left>
      <right>
        <color indexed="63"/>
      </right>
      <top>
        <color indexed="63"/>
      </top>
      <bottom>
        <color indexed="63"/>
      </bottom>
    </border>
    <border>
      <left style="thin">
        <color indexed="8"/>
      </left>
      <right style="thin">
        <color indexed="8"/>
      </right>
      <top>
        <color indexed="63"/>
      </top>
      <bottom style="thin"/>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right style="thin"/>
      <top>
        <color indexed="63"/>
      </top>
      <bottom style="thin"/>
    </border>
    <border>
      <left style="thin"/>
      <right style="thin">
        <color indexed="8"/>
      </right>
      <top>
        <color indexed="63"/>
      </top>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style="thin">
        <color theme="0"/>
      </left>
      <right style="thin">
        <color theme="0"/>
      </right>
      <top style="thin">
        <color theme="0"/>
      </top>
      <bottom style="thin">
        <color theme="0"/>
      </bottom>
    </border>
    <border>
      <left>
        <color indexed="63"/>
      </left>
      <right>
        <color indexed="63"/>
      </right>
      <top style="thin"/>
      <bottom style="thin"/>
    </border>
    <border>
      <left>
        <color indexed="63"/>
      </left>
      <right style="thin">
        <color indexed="8"/>
      </right>
      <top style="thin">
        <color indexed="8"/>
      </top>
      <bottom style="thin">
        <color indexed="8"/>
      </bottom>
    </border>
    <border>
      <left style="thin">
        <color rgb="FF0000FF"/>
      </left>
      <right style="thin">
        <color rgb="FF0000FF"/>
      </right>
      <top style="thin">
        <color rgb="FF0000FF"/>
      </top>
      <bottom style="thin">
        <color rgb="FF0000FF"/>
      </bottom>
    </border>
    <border>
      <left style="thin">
        <color rgb="FF0000FF"/>
      </left>
      <right style="thin">
        <color rgb="FF0000FF"/>
      </right>
      <top style="thin">
        <color rgb="FF0000FF"/>
      </top>
      <bottom>
        <color indexed="63"/>
      </bottom>
    </border>
    <border>
      <left style="thin">
        <color rgb="FF0000FF"/>
      </left>
      <right style="thin">
        <color rgb="FF0000FF"/>
      </right>
      <top>
        <color indexed="63"/>
      </top>
      <bottom>
        <color indexed="63"/>
      </bottom>
    </border>
    <border>
      <left style="thin">
        <color rgb="FF0000FF"/>
      </left>
      <right style="thin">
        <color rgb="FF0000FF"/>
      </right>
      <top>
        <color indexed="63"/>
      </top>
      <bottom style="thin">
        <color rgb="FF0000FF"/>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thin">
        <color indexed="8"/>
      </left>
      <right style="double"/>
      <top>
        <color indexed="63"/>
      </top>
      <bottom>
        <color indexed="63"/>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style="thin">
        <color theme="1"/>
      </left>
      <right style="thin">
        <color theme="1"/>
      </right>
      <top style="thin">
        <color theme="1"/>
      </top>
      <bottom style="thin">
        <color theme="1"/>
      </bottom>
    </border>
    <border>
      <left style="thin">
        <color theme="1"/>
      </left>
      <right>
        <color indexed="63"/>
      </right>
      <top style="thin">
        <color theme="1"/>
      </top>
      <bottom style="thin">
        <color theme="1"/>
      </bottom>
    </border>
    <border>
      <left>
        <color indexed="63"/>
      </left>
      <right style="thin">
        <color theme="1"/>
      </right>
      <top style="thin">
        <color theme="1"/>
      </top>
      <bottom style="thin">
        <color theme="1"/>
      </bottom>
    </border>
    <border>
      <left>
        <color indexed="63"/>
      </left>
      <right style="thin">
        <color indexed="8"/>
      </right>
      <top style="thin">
        <color indexed="8"/>
      </top>
      <bottom>
        <color indexed="63"/>
      </bottom>
    </border>
    <border>
      <left>
        <color indexed="63"/>
      </left>
      <right>
        <color indexed="63"/>
      </right>
      <top style="thin">
        <color theme="1"/>
      </top>
      <bottom>
        <color indexed="63"/>
      </bottom>
    </border>
    <border>
      <left style="medium">
        <color rgb="FFFFFF00"/>
      </left>
      <right>
        <color indexed="63"/>
      </right>
      <top style="medium">
        <color rgb="FFFFFF00"/>
      </top>
      <bottom>
        <color indexed="63"/>
      </bottom>
    </border>
    <border>
      <left>
        <color indexed="63"/>
      </left>
      <right>
        <color indexed="63"/>
      </right>
      <top style="medium">
        <color rgb="FFFFFF00"/>
      </top>
      <bottom>
        <color indexed="63"/>
      </bottom>
    </border>
    <border>
      <left>
        <color indexed="63"/>
      </left>
      <right style="medium">
        <color rgb="FFFFFF00"/>
      </right>
      <top style="medium">
        <color rgb="FFFFFF00"/>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style="thin"/>
      <top style="thin"/>
      <bottom style="thin"/>
    </border>
    <border>
      <left style="thin"/>
      <right>
        <color indexed="63"/>
      </right>
      <top style="thin">
        <color theme="0"/>
      </top>
      <bottom style="thin">
        <color theme="0"/>
      </bottom>
    </border>
    <border>
      <left>
        <color indexed="63"/>
      </left>
      <right style="thin"/>
      <top style="thin">
        <color theme="0"/>
      </top>
      <bottom style="thin">
        <color theme="0"/>
      </bottom>
    </border>
    <border>
      <left>
        <color indexed="63"/>
      </left>
      <right>
        <color indexed="63"/>
      </right>
      <top style="thin">
        <color indexed="8"/>
      </top>
      <bottom style="thin"/>
    </border>
    <border>
      <left style="thin">
        <color theme="0"/>
      </left>
      <right style="thin"/>
      <top style="thin">
        <color theme="0"/>
      </top>
      <bottom style="thin"/>
    </border>
    <border>
      <left style="thin"/>
      <right style="thin"/>
      <top style="thin">
        <color theme="0"/>
      </top>
      <bottom style="thin"/>
    </border>
    <border>
      <left style="thin"/>
      <right style="thin">
        <color theme="0"/>
      </right>
      <top style="thin">
        <color theme="0"/>
      </top>
      <bottom style="thin"/>
    </border>
    <border>
      <left style="thin">
        <color theme="0"/>
      </left>
      <right style="thin"/>
      <top style="thin"/>
      <bottom style="thin">
        <color theme="0"/>
      </bottom>
    </border>
    <border>
      <left style="thin"/>
      <right style="thin"/>
      <top style="thin"/>
      <bottom style="thin">
        <color theme="0"/>
      </bottom>
    </border>
    <border>
      <left style="thin"/>
      <right style="thin">
        <color theme="0"/>
      </right>
      <top style="thin"/>
      <bottom style="thin">
        <color theme="0"/>
      </bottom>
    </border>
    <border>
      <left style="thin">
        <color theme="0"/>
      </left>
      <right>
        <color indexed="63"/>
      </right>
      <top style="thin"/>
      <bottom>
        <color indexed="63"/>
      </bottom>
    </border>
    <border>
      <left>
        <color indexed="63"/>
      </left>
      <right style="thin">
        <color theme="0"/>
      </right>
      <top style="thin"/>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top style="thin">
        <color indexed="8"/>
      </top>
      <bottom>
        <color indexed="63"/>
      </bottom>
    </border>
    <border>
      <left style="thin">
        <color indexed="8"/>
      </left>
      <right>
        <color indexed="63"/>
      </right>
      <top>
        <color indexed="63"/>
      </top>
      <bottom style="thin"/>
    </border>
    <border>
      <left>
        <color indexed="63"/>
      </left>
      <right style="thin"/>
      <top style="thin">
        <color indexed="8"/>
      </top>
      <bottom style="thin">
        <color indexed="8"/>
      </bottom>
    </border>
    <border>
      <left style="thin"/>
      <right>
        <color indexed="63"/>
      </right>
      <top style="thin">
        <color indexed="8"/>
      </top>
      <bottom style="thin">
        <color indexed="8"/>
      </bottom>
    </border>
    <border>
      <left>
        <color indexed="63"/>
      </left>
      <right style="thin">
        <color indexed="8"/>
      </right>
      <top>
        <color indexed="63"/>
      </top>
      <bottom style="thin"/>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style="thin">
        <color theme="0"/>
      </left>
      <right>
        <color indexed="63"/>
      </right>
      <top style="thin">
        <color theme="0"/>
      </top>
      <bottom>
        <color indexed="63"/>
      </bottom>
    </border>
    <border>
      <left>
        <color indexed="63"/>
      </left>
      <right>
        <color indexed="63"/>
      </right>
      <top style="thin">
        <color theme="0"/>
      </top>
      <bottom>
        <color indexed="63"/>
      </bottom>
    </border>
    <border>
      <left>
        <color indexed="63"/>
      </left>
      <right style="thin">
        <color theme="0"/>
      </right>
      <top style="thin">
        <color theme="0"/>
      </top>
      <bottom>
        <color indexed="63"/>
      </bottom>
    </border>
    <border>
      <left style="thin">
        <color theme="0"/>
      </left>
      <right>
        <color indexed="63"/>
      </right>
      <top>
        <color indexed="63"/>
      </top>
      <bottom style="thin"/>
    </border>
    <border>
      <left>
        <color indexed="63"/>
      </left>
      <right style="thin">
        <color theme="0"/>
      </right>
      <top>
        <color indexed="63"/>
      </top>
      <bottom style="thin"/>
    </border>
    <border>
      <left style="thin">
        <color theme="0"/>
      </left>
      <right style="thin">
        <color theme="0"/>
      </right>
      <top style="thin">
        <color theme="0"/>
      </top>
      <bottom>
        <color indexed="63"/>
      </bottom>
    </border>
    <border>
      <left style="thin">
        <color theme="0"/>
      </left>
      <right style="thin">
        <color theme="0"/>
      </right>
      <top>
        <color indexed="63"/>
      </top>
      <bottom>
        <color indexed="63"/>
      </bottom>
    </border>
    <border>
      <left style="thin">
        <color theme="0"/>
      </left>
      <right style="thin">
        <color theme="0"/>
      </right>
      <top>
        <color indexed="63"/>
      </top>
      <bottom style="thin">
        <color theme="0"/>
      </bottom>
    </border>
    <border>
      <left style="thin">
        <color theme="0"/>
      </left>
      <right style="thin">
        <color theme="0"/>
      </right>
      <top style="thin">
        <color theme="0"/>
      </top>
      <bottom style="thin">
        <color rgb="FFFFFF00"/>
      </bottom>
    </border>
    <border>
      <left style="thin">
        <color theme="0"/>
      </left>
      <right style="thin">
        <color theme="0"/>
      </right>
      <top style="thin">
        <color rgb="FFFFFF00"/>
      </top>
      <bottom style="thin">
        <color rgb="FFFFFF00"/>
      </bottom>
    </border>
    <border>
      <left style="thin">
        <color theme="0"/>
      </left>
      <right style="thin">
        <color theme="0"/>
      </right>
      <top style="thin">
        <color rgb="FFFFFF00"/>
      </top>
      <bottom style="thin">
        <color theme="0"/>
      </bottom>
    </border>
    <border>
      <left style="thin">
        <color theme="0"/>
      </left>
      <right>
        <color indexed="63"/>
      </right>
      <top style="thin"/>
      <bottom style="thin">
        <color theme="0"/>
      </bottom>
    </border>
    <border>
      <left>
        <color indexed="63"/>
      </left>
      <right>
        <color indexed="63"/>
      </right>
      <top style="thin"/>
      <bottom style="thin">
        <color theme="0"/>
      </bottom>
    </border>
    <border>
      <left>
        <color indexed="63"/>
      </left>
      <right style="thin">
        <color theme="0"/>
      </right>
      <top style="thin"/>
      <bottom style="thin">
        <color theme="0"/>
      </bottom>
    </border>
    <border>
      <left>
        <color indexed="63"/>
      </left>
      <right style="thin">
        <color indexed="8"/>
      </right>
      <top>
        <color indexed="63"/>
      </top>
      <bottom style="thin">
        <color indexed="8"/>
      </bottom>
    </border>
    <border>
      <left style="thin">
        <color rgb="FF0000FF"/>
      </left>
      <right>
        <color indexed="63"/>
      </right>
      <top style="thin">
        <color rgb="FF0000FF"/>
      </top>
      <bottom style="thin">
        <color rgb="FF0000FF"/>
      </bottom>
    </border>
    <border>
      <left>
        <color indexed="63"/>
      </left>
      <right>
        <color indexed="63"/>
      </right>
      <top style="thin">
        <color rgb="FF0000FF"/>
      </top>
      <bottom style="thin">
        <color rgb="FF0000FF"/>
      </bottom>
    </border>
    <border>
      <left>
        <color indexed="63"/>
      </left>
      <right style="thin">
        <color rgb="FF0000FF"/>
      </right>
      <top style="thin">
        <color rgb="FF0000FF"/>
      </top>
      <bottom style="thin">
        <color rgb="FF0000FF"/>
      </bottom>
    </border>
    <border>
      <left style="thick">
        <color rgb="FFFFFF00"/>
      </left>
      <right>
        <color indexed="63"/>
      </right>
      <top style="thick">
        <color rgb="FFFFFF00"/>
      </top>
      <bottom style="thin">
        <color rgb="FFFFFF00"/>
      </bottom>
    </border>
    <border>
      <left>
        <color indexed="63"/>
      </left>
      <right style="thin">
        <color rgb="FFFFFF00"/>
      </right>
      <top style="thick">
        <color rgb="FFFFFF00"/>
      </top>
      <bottom style="thin">
        <color rgb="FFFFFF00"/>
      </bottom>
    </border>
    <border>
      <left style="thin">
        <color rgb="FFFFFF00"/>
      </left>
      <right style="thick">
        <color rgb="FFFFFF00"/>
      </right>
      <top style="thick">
        <color rgb="FFFFFF00"/>
      </top>
      <bottom>
        <color indexed="63"/>
      </bottom>
    </border>
    <border>
      <left style="thin">
        <color rgb="FFFFFF00"/>
      </left>
      <right style="thick">
        <color rgb="FFFFFF00"/>
      </right>
      <top>
        <color indexed="63"/>
      </top>
      <bottom>
        <color indexed="63"/>
      </bottom>
    </border>
    <border>
      <left style="thin">
        <color rgb="FFFFFF00"/>
      </left>
      <right style="thick">
        <color rgb="FFFFFF00"/>
      </right>
      <top>
        <color indexed="63"/>
      </top>
      <bottom style="thin">
        <color rgb="FFFFFF00"/>
      </bottom>
    </border>
    <border>
      <left style="thick">
        <color rgb="FFFFFF00"/>
      </left>
      <right style="thin">
        <color rgb="FFFFFF00"/>
      </right>
      <top style="thin">
        <color rgb="FFFFFF00"/>
      </top>
      <bottom>
        <color indexed="63"/>
      </bottom>
    </border>
    <border>
      <left style="thick">
        <color rgb="FFFFFF00"/>
      </left>
      <right style="thin">
        <color rgb="FFFFFF00"/>
      </right>
      <top>
        <color indexed="63"/>
      </top>
      <bottom>
        <color indexed="63"/>
      </bottom>
    </border>
    <border>
      <left style="thick">
        <color rgb="FFFFFF00"/>
      </left>
      <right style="thin">
        <color rgb="FFFFFF00"/>
      </right>
      <top>
        <color indexed="63"/>
      </top>
      <bottom style="thick">
        <color rgb="FFFFFF00"/>
      </bottom>
    </border>
    <border>
      <left style="thin">
        <color rgb="FFFFFF00"/>
      </left>
      <right>
        <color indexed="63"/>
      </right>
      <top style="thin">
        <color rgb="FFFFFF00"/>
      </top>
      <bottom style="thick">
        <color rgb="FFFFFF00"/>
      </bottom>
    </border>
    <border>
      <left>
        <color indexed="63"/>
      </left>
      <right style="thick">
        <color rgb="FFFFFF00"/>
      </right>
      <top style="thin">
        <color rgb="FFFFFF00"/>
      </top>
      <bottom style="thick">
        <color rgb="FFFFFF00"/>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28" fillId="14" borderId="0" applyNumberFormat="0" applyBorder="0" applyAlignment="0" applyProtection="0"/>
    <xf numFmtId="0" fontId="128" fillId="15" borderId="0" applyNumberFormat="0" applyBorder="0" applyAlignment="0" applyProtection="0"/>
    <xf numFmtId="0" fontId="128" fillId="16" borderId="0" applyNumberFormat="0" applyBorder="0" applyAlignment="0" applyProtection="0"/>
    <xf numFmtId="0" fontId="128" fillId="17" borderId="0" applyNumberFormat="0" applyBorder="0" applyAlignment="0" applyProtection="0"/>
    <xf numFmtId="0" fontId="128" fillId="18" borderId="0" applyNumberFormat="0" applyBorder="0" applyAlignment="0" applyProtection="0"/>
    <xf numFmtId="0" fontId="128" fillId="19" borderId="0" applyNumberFormat="0" applyBorder="0" applyAlignment="0" applyProtection="0"/>
    <xf numFmtId="0" fontId="128" fillId="20" borderId="0" applyNumberFormat="0" applyBorder="0" applyAlignment="0" applyProtection="0"/>
    <xf numFmtId="0" fontId="128" fillId="21" borderId="0" applyNumberFormat="0" applyBorder="0" applyAlignment="0" applyProtection="0"/>
    <xf numFmtId="0" fontId="128" fillId="22" borderId="0" applyNumberFormat="0" applyBorder="0" applyAlignment="0" applyProtection="0"/>
    <xf numFmtId="0" fontId="128" fillId="23" borderId="0" applyNumberFormat="0" applyBorder="0" applyAlignment="0" applyProtection="0"/>
    <xf numFmtId="0" fontId="128" fillId="24" borderId="0" applyNumberFormat="0" applyBorder="0" applyAlignment="0" applyProtection="0"/>
    <xf numFmtId="0" fontId="128" fillId="25" borderId="0" applyNumberFormat="0" applyBorder="0" applyAlignment="0" applyProtection="0"/>
    <xf numFmtId="0" fontId="129" fillId="26" borderId="0" applyNumberFormat="0" applyBorder="0" applyAlignment="0" applyProtection="0"/>
    <xf numFmtId="0" fontId="130" fillId="27" borderId="1" applyNumberFormat="0" applyAlignment="0" applyProtection="0"/>
    <xf numFmtId="0" fontId="13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32" fillId="0" borderId="0" applyNumberFormat="0" applyFill="0" applyBorder="0" applyAlignment="0" applyProtection="0"/>
    <xf numFmtId="0" fontId="133" fillId="0" borderId="0" applyNumberFormat="0" applyFill="0" applyBorder="0" applyAlignment="0" applyProtection="0"/>
    <xf numFmtId="0" fontId="134" fillId="29" borderId="0" applyNumberFormat="0" applyBorder="0" applyAlignment="0" applyProtection="0"/>
    <xf numFmtId="0" fontId="135" fillId="0" borderId="3" applyNumberFormat="0" applyFill="0" applyAlignment="0" applyProtection="0"/>
    <xf numFmtId="0" fontId="136" fillId="0" borderId="4" applyNumberFormat="0" applyFill="0" applyAlignment="0" applyProtection="0"/>
    <xf numFmtId="0" fontId="137" fillId="0" borderId="5" applyNumberFormat="0" applyFill="0" applyAlignment="0" applyProtection="0"/>
    <xf numFmtId="0" fontId="137"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138" fillId="30" borderId="1" applyNumberFormat="0" applyAlignment="0" applyProtection="0"/>
    <xf numFmtId="0" fontId="139" fillId="0" borderId="6" applyNumberFormat="0" applyFill="0" applyAlignment="0" applyProtection="0"/>
    <xf numFmtId="0" fontId="140" fillId="31" borderId="0" applyNumberFormat="0" applyBorder="0" applyAlignment="0" applyProtection="0"/>
    <xf numFmtId="0" fontId="4" fillId="0" borderId="0">
      <alignment/>
      <protection/>
    </xf>
    <xf numFmtId="0" fontId="4"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141" fillId="27" borderId="8" applyNumberFormat="0" applyAlignment="0" applyProtection="0"/>
    <xf numFmtId="9" fontId="0" fillId="0" borderId="0" applyFont="0" applyFill="0" applyBorder="0" applyAlignment="0" applyProtection="0"/>
    <xf numFmtId="0" fontId="142" fillId="0" borderId="0" applyNumberFormat="0" applyFill="0" applyBorder="0" applyAlignment="0" applyProtection="0"/>
    <xf numFmtId="0" fontId="143" fillId="0" borderId="9" applyNumberFormat="0" applyFill="0" applyAlignment="0" applyProtection="0"/>
    <xf numFmtId="0" fontId="144" fillId="0" borderId="0" applyNumberFormat="0" applyFill="0" applyBorder="0" applyAlignment="0" applyProtection="0"/>
  </cellStyleXfs>
  <cellXfs count="819">
    <xf numFmtId="0" fontId="0" fillId="0" borderId="0" xfId="0" applyFont="1" applyAlignment="1">
      <alignment/>
    </xf>
    <xf numFmtId="0" fontId="1" fillId="33" borderId="0" xfId="60" applyFill="1" applyBorder="1" applyAlignment="1" applyProtection="1">
      <alignment/>
      <protection hidden="1"/>
    </xf>
    <xf numFmtId="0" fontId="1" fillId="0" borderId="0" xfId="60" applyFill="1" applyAlignment="1" applyProtection="1">
      <alignment/>
      <protection hidden="1"/>
    </xf>
    <xf numFmtId="0" fontId="1" fillId="0" borderId="0" xfId="60" applyFill="1" applyAlignment="1" applyProtection="1">
      <alignment vertical="center"/>
      <protection hidden="1"/>
    </xf>
    <xf numFmtId="0" fontId="1" fillId="0" borderId="10" xfId="60" applyBorder="1" applyAlignment="1" applyProtection="1">
      <alignment/>
      <protection hidden="1"/>
    </xf>
    <xf numFmtId="0" fontId="1" fillId="34" borderId="0" xfId="60" applyFill="1" applyBorder="1" applyAlignment="1" applyProtection="1">
      <alignment/>
      <protection hidden="1"/>
    </xf>
    <xf numFmtId="0" fontId="1" fillId="0" borderId="0" xfId="60" applyBorder="1" applyAlignment="1" applyProtection="1">
      <alignment/>
      <protection hidden="1"/>
    </xf>
    <xf numFmtId="49" fontId="145" fillId="35" borderId="0" xfId="60" applyNumberFormat="1" applyFont="1" applyFill="1" applyBorder="1" applyAlignment="1" applyProtection="1">
      <alignment horizontal="left" vertical="center" indent="1" shrinkToFit="1"/>
      <protection hidden="1"/>
    </xf>
    <xf numFmtId="0" fontId="1" fillId="0" borderId="11" xfId="60" applyBorder="1" applyAlignment="1" applyProtection="1">
      <alignment/>
      <protection hidden="1"/>
    </xf>
    <xf numFmtId="49" fontId="145" fillId="0" borderId="0" xfId="60" applyNumberFormat="1" applyFont="1" applyBorder="1" applyAlignment="1" applyProtection="1">
      <alignment horizontal="left" vertical="center" indent="1" shrinkToFit="1"/>
      <protection hidden="1"/>
    </xf>
    <xf numFmtId="0" fontId="3" fillId="0" borderId="0" xfId="60" applyFont="1" applyFill="1" applyBorder="1" applyAlignment="1" applyProtection="1">
      <alignment horizontal="center" vertical="center"/>
      <protection hidden="1"/>
    </xf>
    <xf numFmtId="0" fontId="1" fillId="0" borderId="0" xfId="60" applyFill="1" applyBorder="1" applyAlignment="1" applyProtection="1">
      <alignment/>
      <protection hidden="1"/>
    </xf>
    <xf numFmtId="0" fontId="1" fillId="0" borderId="12" xfId="60" applyBorder="1" applyAlignment="1" applyProtection="1">
      <alignment/>
      <protection hidden="1"/>
    </xf>
    <xf numFmtId="0" fontId="1" fillId="0" borderId="13" xfId="60" applyBorder="1" applyAlignment="1" applyProtection="1">
      <alignment/>
      <protection hidden="1"/>
    </xf>
    <xf numFmtId="0" fontId="1" fillId="0" borderId="14" xfId="60" applyBorder="1" applyAlignment="1" applyProtection="1">
      <alignment/>
      <protection hidden="1"/>
    </xf>
    <xf numFmtId="0" fontId="1" fillId="36" borderId="0" xfId="60" applyFill="1" applyBorder="1" applyAlignment="1" applyProtection="1">
      <alignment/>
      <protection hidden="1"/>
    </xf>
    <xf numFmtId="0" fontId="1" fillId="37" borderId="0" xfId="60" applyFill="1" applyBorder="1" applyAlignment="1" applyProtection="1">
      <alignment/>
      <protection hidden="1"/>
    </xf>
    <xf numFmtId="0" fontId="1" fillId="38" borderId="15" xfId="60" applyFill="1" applyBorder="1" applyAlignment="1" applyProtection="1">
      <alignment/>
      <protection hidden="1"/>
    </xf>
    <xf numFmtId="0" fontId="1" fillId="38" borderId="16" xfId="60" applyFill="1" applyBorder="1" applyAlignment="1" applyProtection="1">
      <alignment/>
      <protection hidden="1"/>
    </xf>
    <xf numFmtId="0" fontId="1" fillId="0" borderId="0" xfId="60" applyFill="1" applyProtection="1">
      <alignment/>
      <protection hidden="1"/>
    </xf>
    <xf numFmtId="0" fontId="8" fillId="0" borderId="0" xfId="58" applyFont="1" applyFill="1" applyBorder="1" applyAlignment="1" applyProtection="1">
      <alignment horizontal="center" vertical="center" wrapText="1"/>
      <protection hidden="1"/>
    </xf>
    <xf numFmtId="0" fontId="8" fillId="0" borderId="0" xfId="58" applyFont="1" applyFill="1" applyBorder="1" applyAlignment="1" applyProtection="1">
      <alignment horizontal="right" vertical="center" wrapText="1"/>
      <protection hidden="1"/>
    </xf>
    <xf numFmtId="0" fontId="10" fillId="0" borderId="0" xfId="58" applyFont="1" applyFill="1" applyBorder="1" applyAlignment="1" applyProtection="1">
      <alignment vertical="center" textRotation="90" wrapText="1"/>
      <protection hidden="1"/>
    </xf>
    <xf numFmtId="0" fontId="10" fillId="0" borderId="17" xfId="58" applyFont="1" applyFill="1" applyBorder="1" applyAlignment="1" applyProtection="1">
      <alignment vertical="center" textRotation="90" wrapText="1"/>
      <protection hidden="1"/>
    </xf>
    <xf numFmtId="0" fontId="12" fillId="0" borderId="0" xfId="58" applyFont="1" applyFill="1" applyBorder="1" applyAlignment="1" applyProtection="1">
      <alignment horizontal="center" vertical="center" wrapText="1"/>
      <protection hidden="1"/>
    </xf>
    <xf numFmtId="0" fontId="8" fillId="0" borderId="0" xfId="58" applyFont="1" applyFill="1" applyBorder="1" applyAlignment="1" applyProtection="1">
      <alignment horizontal="left" vertical="center" wrapText="1" indent="1"/>
      <protection hidden="1"/>
    </xf>
    <xf numFmtId="3" fontId="11" fillId="0" borderId="0" xfId="58" applyNumberFormat="1" applyFont="1" applyFill="1" applyBorder="1" applyAlignment="1" applyProtection="1">
      <alignment horizontal="right" vertical="center" wrapText="1" indent="3"/>
      <protection hidden="1"/>
    </xf>
    <xf numFmtId="0" fontId="12" fillId="0" borderId="0" xfId="58" applyFont="1" applyFill="1" applyBorder="1" applyAlignment="1" applyProtection="1">
      <alignment horizontal="center" vertical="center" textRotation="180" wrapText="1"/>
      <protection hidden="1"/>
    </xf>
    <xf numFmtId="3" fontId="11" fillId="0" borderId="0" xfId="58" applyNumberFormat="1" applyFont="1" applyFill="1" applyBorder="1" applyAlignment="1" applyProtection="1">
      <alignment horizontal="right" vertical="center" wrapText="1"/>
      <protection hidden="1"/>
    </xf>
    <xf numFmtId="0" fontId="8" fillId="0" borderId="18" xfId="58" applyFont="1" applyFill="1" applyBorder="1" applyAlignment="1" applyProtection="1">
      <alignment horizontal="left" vertical="center" wrapText="1" indent="1"/>
      <protection hidden="1"/>
    </xf>
    <xf numFmtId="0" fontId="8" fillId="0" borderId="19" xfId="58" applyFont="1" applyFill="1" applyBorder="1" applyAlignment="1" applyProtection="1">
      <alignment horizontal="left" vertical="center" wrapText="1" indent="1"/>
      <protection hidden="1"/>
    </xf>
    <xf numFmtId="3" fontId="8" fillId="0" borderId="0" xfId="58" applyNumberFormat="1" applyFont="1" applyFill="1" applyBorder="1" applyAlignment="1" applyProtection="1">
      <alignment horizontal="right" vertical="center" wrapText="1"/>
      <protection hidden="1"/>
    </xf>
    <xf numFmtId="0" fontId="10" fillId="0" borderId="0" xfId="58" applyFont="1" applyFill="1" applyBorder="1" applyAlignment="1" applyProtection="1">
      <alignment horizontal="center" vertical="center" textRotation="90" wrapText="1"/>
      <protection hidden="1"/>
    </xf>
    <xf numFmtId="0" fontId="5" fillId="0" borderId="0" xfId="58" applyFont="1" applyFill="1" applyAlignment="1" applyProtection="1">
      <alignment vertical="center" wrapText="1"/>
      <protection hidden="1"/>
    </xf>
    <xf numFmtId="0" fontId="5" fillId="0" borderId="0" xfId="58" applyFont="1" applyFill="1" applyAlignment="1" applyProtection="1">
      <alignment horizontal="left" vertical="center" wrapText="1"/>
      <protection hidden="1"/>
    </xf>
    <xf numFmtId="0" fontId="6" fillId="0" borderId="0" xfId="58" applyFont="1" applyFill="1" applyAlignment="1" applyProtection="1">
      <alignment vertical="center" wrapText="1"/>
      <protection hidden="1"/>
    </xf>
    <xf numFmtId="0" fontId="7" fillId="0" borderId="0" xfId="58" applyFont="1" applyFill="1" applyAlignment="1" applyProtection="1">
      <alignment vertical="center" wrapText="1"/>
      <protection hidden="1"/>
    </xf>
    <xf numFmtId="0" fontId="1" fillId="0" borderId="0" xfId="60" applyProtection="1">
      <alignment/>
      <protection hidden="1"/>
    </xf>
    <xf numFmtId="0" fontId="5" fillId="0" borderId="0" xfId="58" applyFont="1" applyFill="1" applyAlignment="1" applyProtection="1">
      <alignment horizontal="right" vertical="center" wrapText="1"/>
      <protection hidden="1"/>
    </xf>
    <xf numFmtId="0" fontId="14" fillId="39" borderId="0" xfId="60" applyFont="1" applyFill="1" applyBorder="1" applyAlignment="1" applyProtection="1">
      <alignment vertical="center"/>
      <protection hidden="1"/>
    </xf>
    <xf numFmtId="0" fontId="1" fillId="39" borderId="0" xfId="60" applyFill="1" applyAlignment="1" applyProtection="1">
      <alignment/>
      <protection hidden="1"/>
    </xf>
    <xf numFmtId="0" fontId="15" fillId="39" borderId="0" xfId="60" applyFont="1" applyFill="1" applyAlignment="1" applyProtection="1">
      <alignment vertical="center"/>
      <protection hidden="1"/>
    </xf>
    <xf numFmtId="0" fontId="15" fillId="40" borderId="0" xfId="60" applyFont="1" applyFill="1" applyAlignment="1" applyProtection="1">
      <alignment vertical="center"/>
      <protection hidden="1"/>
    </xf>
    <xf numFmtId="0" fontId="1" fillId="0" borderId="0" xfId="60" applyAlignment="1" applyProtection="1">
      <alignment vertical="center"/>
      <protection hidden="1"/>
    </xf>
    <xf numFmtId="0" fontId="15" fillId="41" borderId="0" xfId="60" applyFont="1" applyFill="1" applyAlignment="1" applyProtection="1">
      <alignment vertical="center"/>
      <protection hidden="1"/>
    </xf>
    <xf numFmtId="0" fontId="3" fillId="42" borderId="20" xfId="60" applyFont="1" applyFill="1" applyBorder="1" applyAlignment="1" applyProtection="1">
      <alignment vertical="center"/>
      <protection hidden="1"/>
    </xf>
    <xf numFmtId="0" fontId="8" fillId="43" borderId="21" xfId="58" applyFont="1" applyFill="1" applyBorder="1" applyAlignment="1" applyProtection="1">
      <alignment horizontal="center" vertical="center" wrapText="1"/>
      <protection hidden="1"/>
    </xf>
    <xf numFmtId="172" fontId="8" fillId="43" borderId="21" xfId="58" applyNumberFormat="1" applyFont="1" applyFill="1" applyBorder="1" applyAlignment="1" applyProtection="1">
      <alignment horizontal="center" vertical="center" wrapText="1"/>
      <protection hidden="1"/>
    </xf>
    <xf numFmtId="0" fontId="15" fillId="39" borderId="0" xfId="60" applyFont="1" applyFill="1" applyBorder="1" applyAlignment="1" applyProtection="1">
      <alignment vertical="center"/>
      <protection hidden="1"/>
    </xf>
    <xf numFmtId="0" fontId="3" fillId="42" borderId="22" xfId="60" applyFont="1" applyFill="1" applyBorder="1" applyAlignment="1" applyProtection="1">
      <alignment vertical="center"/>
      <protection hidden="1"/>
    </xf>
    <xf numFmtId="0" fontId="3" fillId="2" borderId="0" xfId="60" applyFont="1" applyFill="1" applyBorder="1" applyAlignment="1" applyProtection="1">
      <alignment horizontal="center" vertical="center"/>
      <protection hidden="1"/>
    </xf>
    <xf numFmtId="0" fontId="19" fillId="0" borderId="23" xfId="60" applyFont="1" applyFill="1" applyBorder="1" applyAlignment="1" applyProtection="1">
      <alignment horizontal="center" vertical="center" shrinkToFit="1"/>
      <protection locked="0"/>
    </xf>
    <xf numFmtId="0" fontId="3" fillId="2" borderId="0" xfId="60" applyFont="1" applyFill="1" applyBorder="1" applyAlignment="1" applyProtection="1">
      <alignment horizontal="center"/>
      <protection hidden="1"/>
    </xf>
    <xf numFmtId="0" fontId="3" fillId="44" borderId="0" xfId="60" applyFont="1" applyFill="1" applyBorder="1" applyAlignment="1" applyProtection="1">
      <alignment horizontal="center" vertical="center"/>
      <protection hidden="1"/>
    </xf>
    <xf numFmtId="0" fontId="19" fillId="0" borderId="23" xfId="60" applyNumberFormat="1" applyFont="1" applyFill="1" applyBorder="1" applyAlignment="1" applyProtection="1">
      <alignment horizontal="center" vertical="center" shrinkToFit="1"/>
      <protection locked="0"/>
    </xf>
    <xf numFmtId="0" fontId="19" fillId="0" borderId="23" xfId="60" applyNumberFormat="1" applyFont="1" applyFill="1" applyBorder="1" applyAlignment="1" applyProtection="1">
      <alignment horizontal="center" vertical="center" wrapText="1"/>
      <protection locked="0"/>
    </xf>
    <xf numFmtId="175" fontId="19" fillId="0" borderId="23" xfId="60" applyNumberFormat="1" applyFont="1" applyFill="1" applyBorder="1" applyAlignment="1" applyProtection="1">
      <alignment horizontal="center" vertical="center" shrinkToFit="1"/>
      <protection locked="0"/>
    </xf>
    <xf numFmtId="176" fontId="19" fillId="0" borderId="23" xfId="60" applyNumberFormat="1" applyFont="1" applyFill="1" applyBorder="1" applyAlignment="1" applyProtection="1">
      <alignment horizontal="center" vertical="center"/>
      <protection locked="0"/>
    </xf>
    <xf numFmtId="0" fontId="19" fillId="0" borderId="23" xfId="60" applyFont="1" applyFill="1" applyBorder="1" applyAlignment="1" applyProtection="1">
      <alignment horizontal="center" vertical="center"/>
      <protection locked="0"/>
    </xf>
    <xf numFmtId="0" fontId="3" fillId="44" borderId="0" xfId="60" applyFont="1" applyFill="1" applyBorder="1" applyAlignment="1" applyProtection="1">
      <alignment horizontal="left" vertical="center"/>
      <protection hidden="1"/>
    </xf>
    <xf numFmtId="0" fontId="8" fillId="43" borderId="20" xfId="58" applyFont="1" applyFill="1" applyBorder="1" applyAlignment="1" applyProtection="1">
      <alignment horizontal="center" vertical="center" wrapText="1"/>
      <protection hidden="1"/>
    </xf>
    <xf numFmtId="172" fontId="8" fillId="43" borderId="20" xfId="58" applyNumberFormat="1" applyFont="1" applyFill="1" applyBorder="1" applyAlignment="1" applyProtection="1">
      <alignment horizontal="center" vertical="center" wrapText="1"/>
      <protection hidden="1"/>
    </xf>
    <xf numFmtId="177" fontId="19" fillId="0" borderId="23" xfId="60" applyNumberFormat="1" applyFont="1" applyFill="1" applyBorder="1" applyAlignment="1" applyProtection="1">
      <alignment horizontal="center" vertical="center"/>
      <protection locked="0"/>
    </xf>
    <xf numFmtId="0" fontId="20" fillId="45" borderId="23" xfId="60" applyFont="1" applyFill="1" applyBorder="1" applyAlignment="1" applyProtection="1">
      <alignment horizontal="left" vertical="center"/>
      <protection hidden="1"/>
    </xf>
    <xf numFmtId="0" fontId="20" fillId="45" borderId="23" xfId="60" applyFont="1" applyFill="1" applyBorder="1" applyAlignment="1" applyProtection="1">
      <alignment horizontal="center" vertical="center"/>
      <protection hidden="1"/>
    </xf>
    <xf numFmtId="4" fontId="13" fillId="46" borderId="23" xfId="60" applyNumberFormat="1" applyFont="1" applyFill="1" applyBorder="1" applyAlignment="1" applyProtection="1">
      <alignment horizontal="left" vertical="center"/>
      <protection hidden="1"/>
    </xf>
    <xf numFmtId="3" fontId="21" fillId="46" borderId="23" xfId="60" applyNumberFormat="1" applyFont="1" applyFill="1" applyBorder="1" applyAlignment="1" applyProtection="1">
      <alignment horizontal="center" vertical="center"/>
      <protection hidden="1"/>
    </xf>
    <xf numFmtId="174" fontId="21" fillId="46" borderId="23" xfId="60" applyNumberFormat="1" applyFont="1" applyFill="1" applyBorder="1" applyAlignment="1" applyProtection="1">
      <alignment horizontal="center" vertical="center"/>
      <protection hidden="1"/>
    </xf>
    <xf numFmtId="0" fontId="22" fillId="46" borderId="23" xfId="60" applyFont="1" applyFill="1" applyBorder="1" applyAlignment="1" applyProtection="1">
      <alignment horizontal="left" vertical="center" shrinkToFit="1"/>
      <protection hidden="1"/>
    </xf>
    <xf numFmtId="0" fontId="23" fillId="46" borderId="23" xfId="60" applyFont="1" applyFill="1" applyBorder="1" applyAlignment="1" applyProtection="1">
      <alignment horizontal="center" vertical="center"/>
      <protection hidden="1"/>
    </xf>
    <xf numFmtId="178" fontId="19" fillId="0" borderId="23" xfId="60" applyNumberFormat="1" applyFont="1" applyFill="1" applyBorder="1" applyAlignment="1" applyProtection="1">
      <alignment horizontal="center" vertical="center"/>
      <protection locked="0"/>
    </xf>
    <xf numFmtId="179" fontId="19" fillId="0" borderId="23" xfId="60" applyNumberFormat="1" applyFont="1" applyFill="1" applyBorder="1" applyAlignment="1" applyProtection="1">
      <alignment horizontal="center" vertical="center"/>
      <protection locked="0"/>
    </xf>
    <xf numFmtId="181" fontId="19" fillId="0" borderId="23" xfId="60" applyNumberFormat="1" applyFont="1" applyFill="1" applyBorder="1" applyAlignment="1" applyProtection="1">
      <alignment horizontal="center" vertical="center"/>
      <protection locked="0"/>
    </xf>
    <xf numFmtId="0" fontId="24" fillId="39" borderId="0" xfId="60" applyFont="1" applyFill="1" applyBorder="1" applyAlignment="1" applyProtection="1">
      <alignment horizontal="left" vertical="center"/>
      <protection hidden="1"/>
    </xf>
    <xf numFmtId="0" fontId="26" fillId="39" borderId="0" xfId="60" applyFont="1" applyFill="1" applyAlignment="1" applyProtection="1">
      <alignment vertical="center"/>
      <protection hidden="1"/>
    </xf>
    <xf numFmtId="0" fontId="1" fillId="39" borderId="0" xfId="60" applyFill="1" applyAlignment="1" applyProtection="1">
      <alignment horizontal="left" vertical="center"/>
      <protection hidden="1"/>
    </xf>
    <xf numFmtId="0" fontId="1" fillId="39" borderId="0" xfId="60" applyFill="1" applyAlignment="1" applyProtection="1">
      <alignment horizontal="center" vertical="center"/>
      <protection hidden="1"/>
    </xf>
    <xf numFmtId="0" fontId="15" fillId="40" borderId="0" xfId="60" applyFont="1" applyFill="1" applyAlignment="1" applyProtection="1">
      <alignment/>
      <protection hidden="1"/>
    </xf>
    <xf numFmtId="0" fontId="1" fillId="0" borderId="0" xfId="60" applyAlignment="1" applyProtection="1">
      <alignment/>
      <protection hidden="1"/>
    </xf>
    <xf numFmtId="0" fontId="1" fillId="39" borderId="0" xfId="60" applyFill="1" applyAlignment="1" applyProtection="1">
      <alignment vertical="center"/>
      <protection hidden="1"/>
    </xf>
    <xf numFmtId="0" fontId="26" fillId="39" borderId="0" xfId="60" applyFont="1" applyFill="1" applyAlignment="1" applyProtection="1">
      <alignment/>
      <protection hidden="1"/>
    </xf>
    <xf numFmtId="0" fontId="26" fillId="41" borderId="0" xfId="60" applyFont="1" applyFill="1" applyAlignment="1" applyProtection="1">
      <alignment/>
      <protection hidden="1"/>
    </xf>
    <xf numFmtId="0" fontId="3" fillId="47" borderId="20" xfId="60" applyFont="1" applyFill="1" applyBorder="1" applyAlignment="1" applyProtection="1">
      <alignment vertical="center"/>
      <protection hidden="1"/>
    </xf>
    <xf numFmtId="0" fontId="3" fillId="47" borderId="22" xfId="60" applyFont="1" applyFill="1" applyBorder="1" applyAlignment="1" applyProtection="1">
      <alignment vertical="center"/>
      <protection hidden="1"/>
    </xf>
    <xf numFmtId="0" fontId="31" fillId="0" borderId="0" xfId="60" applyFont="1" applyFill="1" applyBorder="1" applyAlignment="1" applyProtection="1">
      <alignment vertical="center"/>
      <protection hidden="1"/>
    </xf>
    <xf numFmtId="0" fontId="144" fillId="48" borderId="24" xfId="60" applyFont="1" applyFill="1" applyBorder="1" applyAlignment="1" applyProtection="1">
      <alignment vertical="center"/>
      <protection hidden="1"/>
    </xf>
    <xf numFmtId="0" fontId="26" fillId="41" borderId="0" xfId="60" applyFont="1" applyFill="1" applyAlignment="1" applyProtection="1">
      <alignment vertical="center"/>
      <protection hidden="1"/>
    </xf>
    <xf numFmtId="0" fontId="14" fillId="41" borderId="0" xfId="60" applyFont="1" applyFill="1" applyBorder="1" applyAlignment="1" applyProtection="1">
      <alignment vertical="center"/>
      <protection hidden="1"/>
    </xf>
    <xf numFmtId="0" fontId="31" fillId="0" borderId="0" xfId="60" applyFont="1" applyFill="1" applyAlignment="1" applyProtection="1">
      <alignment horizontal="left" vertical="center"/>
      <protection hidden="1"/>
    </xf>
    <xf numFmtId="0" fontId="31" fillId="0" borderId="0" xfId="60" applyFont="1" applyFill="1" applyAlignment="1" applyProtection="1">
      <alignment vertical="center"/>
      <protection hidden="1"/>
    </xf>
    <xf numFmtId="0" fontId="144" fillId="48" borderId="25" xfId="60" applyFont="1" applyFill="1" applyBorder="1" applyAlignment="1" applyProtection="1">
      <alignment vertical="center"/>
      <protection hidden="1"/>
    </xf>
    <xf numFmtId="4" fontId="26" fillId="39" borderId="0" xfId="60" applyNumberFormat="1" applyFont="1" applyFill="1" applyAlignment="1" applyProtection="1">
      <alignment vertical="center"/>
      <protection hidden="1"/>
    </xf>
    <xf numFmtId="0" fontId="1" fillId="0" borderId="0" xfId="60" applyAlignment="1" applyProtection="1">
      <alignment horizontal="left" vertical="center"/>
      <protection hidden="1"/>
    </xf>
    <xf numFmtId="0" fontId="31" fillId="0" borderId="0" xfId="60" applyFont="1" applyFill="1" applyAlignment="1" applyProtection="1">
      <alignment horizontal="right" vertical="center"/>
      <protection hidden="1"/>
    </xf>
    <xf numFmtId="4" fontId="31" fillId="0" borderId="0" xfId="60" applyNumberFormat="1" applyFont="1" applyFill="1" applyAlignment="1" applyProtection="1">
      <alignment vertical="center"/>
      <protection hidden="1"/>
    </xf>
    <xf numFmtId="0" fontId="144" fillId="39" borderId="0" xfId="60" applyFont="1" applyFill="1" applyBorder="1" applyAlignment="1" applyProtection="1">
      <alignment vertical="center"/>
      <protection hidden="1"/>
    </xf>
    <xf numFmtId="3" fontId="32" fillId="49" borderId="0" xfId="60" applyNumberFormat="1" applyFont="1" applyFill="1" applyAlignment="1" applyProtection="1">
      <alignment horizontal="center" vertical="center"/>
      <protection hidden="1"/>
    </xf>
    <xf numFmtId="4" fontId="146" fillId="50" borderId="26" xfId="60" applyNumberFormat="1" applyFont="1" applyFill="1" applyBorder="1" applyAlignment="1" applyProtection="1">
      <alignment horizontal="right" vertical="center"/>
      <protection hidden="1"/>
    </xf>
    <xf numFmtId="0" fontId="31" fillId="40" borderId="27" xfId="60" applyFont="1" applyFill="1" applyBorder="1" applyAlignment="1" applyProtection="1">
      <alignment vertical="center"/>
      <protection hidden="1"/>
    </xf>
    <xf numFmtId="0" fontId="31" fillId="40" borderId="0" xfId="60" applyFont="1" applyFill="1" applyAlignment="1" applyProtection="1">
      <alignment vertical="center"/>
      <protection hidden="1"/>
    </xf>
    <xf numFmtId="4" fontId="146" fillId="50" borderId="22" xfId="60" applyNumberFormat="1" applyFont="1" applyFill="1" applyBorder="1" applyAlignment="1" applyProtection="1">
      <alignment horizontal="right" vertical="center"/>
      <protection hidden="1"/>
    </xf>
    <xf numFmtId="0" fontId="17" fillId="51" borderId="0" xfId="60" applyFont="1" applyFill="1" applyAlignment="1" applyProtection="1">
      <alignment horizontal="right" vertical="center"/>
      <protection hidden="1"/>
    </xf>
    <xf numFmtId="4" fontId="17" fillId="43" borderId="0" xfId="60" applyNumberFormat="1" applyFont="1" applyFill="1" applyAlignment="1" applyProtection="1">
      <alignment horizontal="right" vertical="center"/>
      <protection hidden="1"/>
    </xf>
    <xf numFmtId="0" fontId="147" fillId="39" borderId="0" xfId="60" applyFont="1" applyFill="1" applyBorder="1" applyAlignment="1" applyProtection="1">
      <alignment vertical="center"/>
      <protection hidden="1"/>
    </xf>
    <xf numFmtId="0" fontId="26" fillId="39" borderId="0" xfId="60" applyFont="1" applyFill="1" applyAlignment="1" applyProtection="1">
      <alignment horizontal="center" vertical="center"/>
      <protection hidden="1"/>
    </xf>
    <xf numFmtId="4" fontId="148" fillId="50" borderId="22" xfId="60" applyNumberFormat="1" applyFont="1" applyFill="1" applyBorder="1" applyAlignment="1" applyProtection="1">
      <alignment horizontal="right" vertical="center"/>
      <protection hidden="1"/>
    </xf>
    <xf numFmtId="4" fontId="31" fillId="0" borderId="0" xfId="60" applyNumberFormat="1" applyFont="1" applyFill="1" applyAlignment="1" applyProtection="1">
      <alignment horizontal="right" vertical="center"/>
      <protection hidden="1"/>
    </xf>
    <xf numFmtId="0" fontId="33" fillId="39" borderId="0" xfId="60" applyFont="1" applyFill="1" applyAlignment="1" applyProtection="1">
      <alignment horizontal="center" vertical="center"/>
      <protection hidden="1"/>
    </xf>
    <xf numFmtId="4" fontId="148" fillId="50" borderId="28" xfId="60" applyNumberFormat="1" applyFont="1" applyFill="1" applyBorder="1" applyAlignment="1" applyProtection="1">
      <alignment horizontal="right" vertical="center"/>
      <protection hidden="1"/>
    </xf>
    <xf numFmtId="0" fontId="3" fillId="47" borderId="29" xfId="60" applyFont="1" applyFill="1" applyBorder="1" applyAlignment="1" applyProtection="1">
      <alignment vertical="center"/>
      <protection hidden="1"/>
    </xf>
    <xf numFmtId="0" fontId="147" fillId="39" borderId="0" xfId="60" applyFont="1" applyFill="1" applyAlignment="1" applyProtection="1">
      <alignment vertical="center"/>
      <protection hidden="1"/>
    </xf>
    <xf numFmtId="0" fontId="33" fillId="39" borderId="0" xfId="60" applyFont="1" applyFill="1" applyAlignment="1" applyProtection="1">
      <alignment horizontal="left" vertical="center"/>
      <protection hidden="1"/>
    </xf>
    <xf numFmtId="4" fontId="33" fillId="39" borderId="0" xfId="60" applyNumberFormat="1" applyFont="1" applyFill="1" applyAlignment="1" applyProtection="1">
      <alignment horizontal="left" vertical="center"/>
      <protection hidden="1"/>
    </xf>
    <xf numFmtId="0" fontId="3" fillId="0" borderId="30" xfId="60" applyFont="1" applyFill="1" applyBorder="1" applyAlignment="1" applyProtection="1">
      <alignment horizontal="center" vertical="center"/>
      <protection hidden="1"/>
    </xf>
    <xf numFmtId="0" fontId="3" fillId="0" borderId="31" xfId="60" applyFont="1" applyFill="1" applyBorder="1" applyAlignment="1" applyProtection="1">
      <alignment horizontal="center" vertical="center"/>
      <protection hidden="1"/>
    </xf>
    <xf numFmtId="0" fontId="144" fillId="48" borderId="32" xfId="60" applyFont="1" applyFill="1" applyBorder="1" applyAlignment="1" applyProtection="1">
      <alignment vertical="center"/>
      <protection hidden="1"/>
    </xf>
    <xf numFmtId="0" fontId="35" fillId="39" borderId="0" xfId="60" applyFont="1" applyFill="1" applyAlignment="1" applyProtection="1">
      <alignment vertical="center"/>
      <protection hidden="1"/>
    </xf>
    <xf numFmtId="0" fontId="35" fillId="0" borderId="0" xfId="60" applyFont="1" applyFill="1" applyAlignment="1" applyProtection="1">
      <alignment horizontal="right"/>
      <protection hidden="1"/>
    </xf>
    <xf numFmtId="0" fontId="147" fillId="0" borderId="0" xfId="60" applyFont="1" applyFill="1" applyAlignment="1" applyProtection="1">
      <alignment/>
      <protection hidden="1"/>
    </xf>
    <xf numFmtId="0" fontId="1" fillId="0" borderId="0" xfId="60" applyFill="1" applyAlignment="1" applyProtection="1">
      <alignment horizontal="center"/>
      <protection hidden="1"/>
    </xf>
    <xf numFmtId="0" fontId="15" fillId="0" borderId="0" xfId="60" applyFont="1" applyFill="1" applyAlignment="1" applyProtection="1">
      <alignment/>
      <protection hidden="1"/>
    </xf>
    <xf numFmtId="0" fontId="26" fillId="0" borderId="0" xfId="60" applyFont="1" applyFill="1" applyAlignment="1" applyProtection="1">
      <alignment/>
      <protection hidden="1"/>
    </xf>
    <xf numFmtId="0" fontId="149" fillId="42" borderId="22" xfId="60" applyFont="1" applyFill="1" applyBorder="1" applyAlignment="1" applyProtection="1">
      <alignment vertical="center"/>
      <protection hidden="1"/>
    </xf>
    <xf numFmtId="183" fontId="19" fillId="0" borderId="23" xfId="60" applyNumberFormat="1" applyFont="1" applyFill="1" applyBorder="1" applyAlignment="1" applyProtection="1">
      <alignment horizontal="center" vertical="center"/>
      <protection locked="0"/>
    </xf>
    <xf numFmtId="0" fontId="150" fillId="52" borderId="25" xfId="60" applyFont="1" applyFill="1" applyBorder="1" applyAlignment="1" applyProtection="1">
      <alignment horizontal="right" vertical="center"/>
      <protection hidden="1"/>
    </xf>
    <xf numFmtId="0" fontId="149" fillId="42" borderId="33" xfId="60" applyFont="1" applyFill="1" applyBorder="1" applyAlignment="1" applyProtection="1">
      <alignment vertical="center"/>
      <protection hidden="1"/>
    </xf>
    <xf numFmtId="4" fontId="151" fillId="50" borderId="20" xfId="60" applyNumberFormat="1" applyFont="1" applyFill="1" applyBorder="1" applyAlignment="1" applyProtection="1">
      <alignment horizontal="right" vertical="center"/>
      <protection hidden="1"/>
    </xf>
    <xf numFmtId="4" fontId="151" fillId="50" borderId="22" xfId="60" applyNumberFormat="1" applyFont="1" applyFill="1" applyBorder="1" applyAlignment="1" applyProtection="1">
      <alignment horizontal="right" vertical="center"/>
      <protection hidden="1"/>
    </xf>
    <xf numFmtId="4" fontId="26" fillId="41" borderId="0" xfId="60" applyNumberFormat="1" applyFont="1" applyFill="1" applyAlignment="1" applyProtection="1">
      <alignment vertical="center"/>
      <protection hidden="1"/>
    </xf>
    <xf numFmtId="0" fontId="1" fillId="40" borderId="0" xfId="60" applyFill="1" applyAlignment="1" applyProtection="1">
      <alignment vertical="center"/>
      <protection hidden="1"/>
    </xf>
    <xf numFmtId="4" fontId="151" fillId="50" borderId="29" xfId="60" applyNumberFormat="1" applyFont="1" applyFill="1" applyBorder="1" applyAlignment="1" applyProtection="1">
      <alignment horizontal="right" vertical="center"/>
      <protection hidden="1"/>
    </xf>
    <xf numFmtId="0" fontId="33" fillId="41" borderId="0" xfId="60" applyFont="1" applyFill="1" applyAlignment="1" applyProtection="1">
      <alignment horizontal="left" vertical="center"/>
      <protection hidden="1"/>
    </xf>
    <xf numFmtId="0" fontId="16" fillId="45" borderId="21" xfId="59" applyFont="1" applyFill="1" applyBorder="1" applyAlignment="1" applyProtection="1">
      <alignment vertical="center" wrapText="1"/>
      <protection hidden="1"/>
    </xf>
    <xf numFmtId="0" fontId="16" fillId="45" borderId="21" xfId="59" applyFont="1" applyFill="1" applyBorder="1" applyAlignment="1" applyProtection="1">
      <alignment horizontal="center" vertical="center" wrapText="1"/>
      <protection hidden="1"/>
    </xf>
    <xf numFmtId="0" fontId="8" fillId="50" borderId="23" xfId="59" applyFont="1" applyFill="1" applyBorder="1" applyAlignment="1" applyProtection="1">
      <alignment horizontal="center" vertical="center" wrapText="1"/>
      <protection hidden="1"/>
    </xf>
    <xf numFmtId="174" fontId="8" fillId="50" borderId="23" xfId="59" applyNumberFormat="1" applyFont="1" applyFill="1" applyBorder="1" applyAlignment="1" applyProtection="1">
      <alignment horizontal="center" vertical="center" wrapText="1"/>
      <protection hidden="1"/>
    </xf>
    <xf numFmtId="3" fontId="8" fillId="50" borderId="23" xfId="59" applyNumberFormat="1" applyFont="1" applyFill="1" applyBorder="1" applyAlignment="1" applyProtection="1">
      <alignment horizontal="center" vertical="center" wrapText="1"/>
      <protection hidden="1"/>
    </xf>
    <xf numFmtId="0" fontId="152" fillId="53" borderId="23" xfId="60" applyFont="1" applyFill="1" applyBorder="1" applyAlignment="1" applyProtection="1">
      <alignment horizontal="center" vertical="center"/>
      <protection hidden="1"/>
    </xf>
    <xf numFmtId="174" fontId="153" fillId="54" borderId="23" xfId="60" applyNumberFormat="1" applyFont="1" applyFill="1" applyBorder="1" applyAlignment="1" applyProtection="1">
      <alignment horizontal="center" vertical="center"/>
      <protection hidden="1"/>
    </xf>
    <xf numFmtId="174" fontId="152" fillId="53" borderId="23" xfId="60" applyNumberFormat="1" applyFont="1" applyFill="1" applyBorder="1" applyAlignment="1" applyProtection="1">
      <alignment horizontal="center" vertical="center"/>
      <protection hidden="1"/>
    </xf>
    <xf numFmtId="3" fontId="153" fillId="54" borderId="23" xfId="60" applyNumberFormat="1" applyFont="1" applyFill="1" applyBorder="1" applyAlignment="1" applyProtection="1">
      <alignment horizontal="center" vertical="center"/>
      <protection hidden="1"/>
    </xf>
    <xf numFmtId="0" fontId="128" fillId="55" borderId="23" xfId="60" applyFont="1" applyFill="1" applyBorder="1" applyAlignment="1" applyProtection="1">
      <alignment horizontal="center" vertical="center"/>
      <protection hidden="1"/>
    </xf>
    <xf numFmtId="4" fontId="128" fillId="39" borderId="0" xfId="60" applyNumberFormat="1" applyFont="1" applyFill="1" applyBorder="1" applyAlignment="1" applyProtection="1">
      <alignment vertical="center"/>
      <protection hidden="1"/>
    </xf>
    <xf numFmtId="0" fontId="16" fillId="45" borderId="23" xfId="59" applyFont="1" applyFill="1" applyBorder="1" applyAlignment="1" applyProtection="1">
      <alignment vertical="center" wrapText="1"/>
      <protection hidden="1"/>
    </xf>
    <xf numFmtId="0" fontId="16" fillId="45" borderId="23" xfId="59" applyFont="1" applyFill="1" applyBorder="1" applyAlignment="1" applyProtection="1">
      <alignment horizontal="center" vertical="center" wrapText="1"/>
      <protection hidden="1"/>
    </xf>
    <xf numFmtId="49" fontId="8" fillId="43" borderId="23" xfId="59" applyNumberFormat="1" applyFont="1" applyFill="1" applyBorder="1" applyAlignment="1" applyProtection="1">
      <alignment vertical="center" wrapText="1"/>
      <protection hidden="1"/>
    </xf>
    <xf numFmtId="0" fontId="8" fillId="43" borderId="23" xfId="59" applyFont="1" applyFill="1" applyBorder="1" applyAlignment="1" applyProtection="1">
      <alignment horizontal="center" vertical="center" wrapText="1"/>
      <protection hidden="1"/>
    </xf>
    <xf numFmtId="174" fontId="8" fillId="43" borderId="23" xfId="59" applyNumberFormat="1" applyFont="1" applyFill="1" applyBorder="1" applyAlignment="1" applyProtection="1">
      <alignment horizontal="center" vertical="center" wrapText="1"/>
      <protection hidden="1"/>
    </xf>
    <xf numFmtId="3" fontId="8" fillId="43" borderId="23" xfId="59" applyNumberFormat="1" applyFont="1" applyFill="1" applyBorder="1" applyAlignment="1" applyProtection="1">
      <alignment horizontal="center" vertical="center" wrapText="1"/>
      <protection hidden="1"/>
    </xf>
    <xf numFmtId="3" fontId="153" fillId="54" borderId="34" xfId="60" applyNumberFormat="1" applyFont="1" applyFill="1" applyBorder="1" applyAlignment="1" applyProtection="1">
      <alignment horizontal="center" vertical="center"/>
      <protection hidden="1"/>
    </xf>
    <xf numFmtId="0" fontId="16" fillId="45" borderId="23" xfId="59" applyFont="1" applyFill="1" applyBorder="1" applyAlignment="1" applyProtection="1">
      <alignment horizontal="left" vertical="center" wrapText="1"/>
      <protection hidden="1"/>
    </xf>
    <xf numFmtId="0" fontId="16" fillId="45" borderId="23" xfId="59" applyFont="1" applyFill="1" applyBorder="1" applyAlignment="1" applyProtection="1">
      <alignment horizontal="right" vertical="center" wrapText="1"/>
      <protection hidden="1"/>
    </xf>
    <xf numFmtId="174" fontId="8" fillId="43" borderId="23" xfId="59" applyNumberFormat="1" applyFont="1" applyFill="1" applyBorder="1" applyAlignment="1" applyProtection="1">
      <alignment horizontal="right" vertical="center" wrapText="1"/>
      <protection hidden="1"/>
    </xf>
    <xf numFmtId="3" fontId="8" fillId="43" borderId="23" xfId="59" applyNumberFormat="1" applyFont="1" applyFill="1" applyBorder="1" applyAlignment="1" applyProtection="1">
      <alignment horizontal="right" vertical="center" wrapText="1"/>
      <protection hidden="1"/>
    </xf>
    <xf numFmtId="0" fontId="1" fillId="0" borderId="0" xfId="60" applyAlignment="1" applyProtection="1">
      <alignment horizontal="left"/>
      <protection hidden="1"/>
    </xf>
    <xf numFmtId="0" fontId="20" fillId="45" borderId="23" xfId="60" applyFont="1" applyFill="1" applyBorder="1" applyAlignment="1" applyProtection="1">
      <alignment horizontal="right" vertical="center"/>
      <protection hidden="1"/>
    </xf>
    <xf numFmtId="4" fontId="13" fillId="46" borderId="23" xfId="60" applyNumberFormat="1" applyFont="1" applyFill="1" applyBorder="1" applyAlignment="1" applyProtection="1">
      <alignment horizontal="right" vertical="center"/>
      <protection hidden="1"/>
    </xf>
    <xf numFmtId="0" fontId="154" fillId="45" borderId="23" xfId="60" applyFont="1" applyFill="1" applyBorder="1" applyAlignment="1" applyProtection="1">
      <alignment horizontal="center" vertical="center"/>
      <protection hidden="1"/>
    </xf>
    <xf numFmtId="0" fontId="154" fillId="56" borderId="23" xfId="60" applyFont="1" applyFill="1" applyBorder="1" applyAlignment="1" applyProtection="1">
      <alignment horizontal="center" vertical="center"/>
      <protection hidden="1"/>
    </xf>
    <xf numFmtId="0" fontId="22" fillId="46" borderId="23" xfId="60" applyFont="1" applyFill="1" applyBorder="1" applyAlignment="1" applyProtection="1">
      <alignment horizontal="right" vertical="center" shrinkToFit="1"/>
      <protection hidden="1"/>
    </xf>
    <xf numFmtId="172" fontId="36" fillId="57" borderId="23" xfId="60" applyNumberFormat="1" applyFont="1" applyFill="1" applyBorder="1" applyAlignment="1" applyProtection="1">
      <alignment horizontal="center" vertical="center"/>
      <protection hidden="1"/>
    </xf>
    <xf numFmtId="0" fontId="36" fillId="57" borderId="23" xfId="60" applyFont="1" applyFill="1" applyBorder="1" applyAlignment="1" applyProtection="1">
      <alignment horizontal="center" vertical="center"/>
      <protection hidden="1"/>
    </xf>
    <xf numFmtId="0" fontId="26" fillId="39" borderId="0" xfId="60" applyFont="1" applyFill="1" applyAlignment="1" applyProtection="1">
      <alignment horizontal="right" vertical="center"/>
      <protection hidden="1"/>
    </xf>
    <xf numFmtId="4" fontId="151" fillId="58" borderId="24" xfId="60" applyNumberFormat="1" applyFont="1" applyFill="1" applyBorder="1" applyAlignment="1" applyProtection="1">
      <alignment horizontal="right" vertical="center"/>
      <protection hidden="1"/>
    </xf>
    <xf numFmtId="4" fontId="151" fillId="58" borderId="25" xfId="60" applyNumberFormat="1" applyFont="1" applyFill="1" applyBorder="1" applyAlignment="1" applyProtection="1">
      <alignment horizontal="right" vertical="center"/>
      <protection hidden="1"/>
    </xf>
    <xf numFmtId="4" fontId="151" fillId="58" borderId="32" xfId="60" applyNumberFormat="1" applyFont="1" applyFill="1" applyBorder="1" applyAlignment="1" applyProtection="1">
      <alignment horizontal="right" vertical="center"/>
      <protection hidden="1"/>
    </xf>
    <xf numFmtId="4" fontId="144" fillId="41" borderId="0" xfId="60" applyNumberFormat="1" applyFont="1" applyFill="1" applyBorder="1" applyAlignment="1" applyProtection="1">
      <alignment vertical="center"/>
      <protection hidden="1"/>
    </xf>
    <xf numFmtId="0" fontId="144" fillId="39" borderId="0" xfId="60" applyFont="1" applyFill="1" applyAlignment="1" applyProtection="1">
      <alignment vertical="center"/>
      <protection hidden="1"/>
    </xf>
    <xf numFmtId="4" fontId="155" fillId="50" borderId="22" xfId="60" applyNumberFormat="1" applyFont="1" applyFill="1" applyBorder="1" applyAlignment="1" applyProtection="1">
      <alignment horizontal="right" vertical="center"/>
      <protection hidden="1"/>
    </xf>
    <xf numFmtId="4" fontId="144" fillId="41" borderId="0" xfId="60" applyNumberFormat="1" applyFont="1" applyFill="1" applyAlignment="1" applyProtection="1">
      <alignment vertical="center"/>
      <protection hidden="1"/>
    </xf>
    <xf numFmtId="4" fontId="155" fillId="50" borderId="28" xfId="60" applyNumberFormat="1" applyFont="1" applyFill="1" applyBorder="1" applyAlignment="1" applyProtection="1">
      <alignment horizontal="right" vertical="center"/>
      <protection hidden="1"/>
    </xf>
    <xf numFmtId="0" fontId="1" fillId="0" borderId="0" xfId="60" applyFill="1" applyAlignment="1" applyProtection="1">
      <alignment horizontal="left"/>
      <protection hidden="1"/>
    </xf>
    <xf numFmtId="0" fontId="37" fillId="45" borderId="21" xfId="59" applyFont="1" applyFill="1" applyBorder="1" applyAlignment="1" applyProtection="1">
      <alignment horizontal="left" vertical="center" wrapText="1" indent="1"/>
      <protection hidden="1"/>
    </xf>
    <xf numFmtId="0" fontId="13" fillId="50" borderId="21" xfId="59" applyFont="1" applyFill="1" applyBorder="1" applyAlignment="1" applyProtection="1">
      <alignment horizontal="left" vertical="center" wrapText="1" indent="1"/>
      <protection hidden="1"/>
    </xf>
    <xf numFmtId="0" fontId="8" fillId="50" borderId="21" xfId="59" applyFont="1" applyFill="1" applyBorder="1" applyAlignment="1" applyProtection="1">
      <alignment horizontal="center" vertical="center" wrapText="1"/>
      <protection hidden="1"/>
    </xf>
    <xf numFmtId="174" fontId="8" fillId="50" borderId="21" xfId="59" applyNumberFormat="1" applyFont="1" applyFill="1" applyBorder="1" applyAlignment="1" applyProtection="1">
      <alignment horizontal="center" vertical="center" wrapText="1"/>
      <protection hidden="1"/>
    </xf>
    <xf numFmtId="3" fontId="8" fillId="50" borderId="21" xfId="59" applyNumberFormat="1" applyFont="1" applyFill="1" applyBorder="1" applyAlignment="1" applyProtection="1">
      <alignment horizontal="center" vertical="center" wrapText="1"/>
      <protection hidden="1"/>
    </xf>
    <xf numFmtId="174" fontId="16" fillId="59" borderId="0" xfId="60" applyNumberFormat="1" applyFont="1" applyFill="1" applyAlignment="1" applyProtection="1">
      <alignment horizontal="center" vertical="center"/>
      <protection hidden="1"/>
    </xf>
    <xf numFmtId="3" fontId="16" fillId="59" borderId="0" xfId="60" applyNumberFormat="1" applyFont="1" applyFill="1" applyAlignment="1" applyProtection="1">
      <alignment horizontal="center" vertical="center"/>
      <protection hidden="1"/>
    </xf>
    <xf numFmtId="184" fontId="22" fillId="39" borderId="0" xfId="60" applyNumberFormat="1" applyFont="1" applyFill="1" applyAlignment="1" applyProtection="1">
      <alignment horizontal="left" vertical="center" indent="1"/>
      <protection hidden="1"/>
    </xf>
    <xf numFmtId="0" fontId="22" fillId="39" borderId="0" xfId="60" applyFont="1" applyFill="1" applyAlignment="1" applyProtection="1">
      <alignment horizontal="right" vertical="center"/>
      <protection hidden="1"/>
    </xf>
    <xf numFmtId="177" fontId="19" fillId="0" borderId="23" xfId="60" applyNumberFormat="1" applyFont="1" applyFill="1" applyBorder="1" applyAlignment="1" applyProtection="1">
      <alignment horizontal="center" vertical="center" shrinkToFit="1"/>
      <protection locked="0"/>
    </xf>
    <xf numFmtId="185" fontId="19" fillId="0" borderId="23" xfId="60" applyNumberFormat="1" applyFont="1" applyFill="1" applyBorder="1" applyAlignment="1" applyProtection="1">
      <alignment horizontal="center" vertical="center"/>
      <protection locked="0"/>
    </xf>
    <xf numFmtId="0" fontId="19" fillId="0" borderId="34" xfId="60" applyFont="1" applyFill="1" applyBorder="1" applyAlignment="1" applyProtection="1">
      <alignment horizontal="center" vertical="center" shrinkToFit="1"/>
      <protection locked="0"/>
    </xf>
    <xf numFmtId="0" fontId="13" fillId="60" borderId="21" xfId="59" applyFont="1" applyFill="1" applyBorder="1" applyAlignment="1" applyProtection="1">
      <alignment horizontal="left" vertical="center" wrapText="1" indent="1"/>
      <protection hidden="1"/>
    </xf>
    <xf numFmtId="3" fontId="3" fillId="39" borderId="0" xfId="60" applyNumberFormat="1" applyFont="1" applyFill="1" applyAlignment="1" applyProtection="1">
      <alignment horizontal="left" vertical="center" indent="1"/>
      <protection hidden="1"/>
    </xf>
    <xf numFmtId="0" fontId="3" fillId="39" borderId="0" xfId="60" applyFont="1" applyFill="1" applyAlignment="1" applyProtection="1">
      <alignment horizontal="left" vertical="center"/>
      <protection hidden="1"/>
    </xf>
    <xf numFmtId="0" fontId="16" fillId="45" borderId="21" xfId="59" applyFont="1" applyFill="1" applyBorder="1" applyAlignment="1" applyProtection="1">
      <alignment horizontal="left" vertical="center" wrapText="1" indent="1"/>
      <protection hidden="1"/>
    </xf>
    <xf numFmtId="0" fontId="8" fillId="61" borderId="21" xfId="59" applyFont="1" applyFill="1" applyBorder="1" applyAlignment="1" applyProtection="1">
      <alignment horizontal="left" vertical="center" wrapText="1" indent="1"/>
      <protection hidden="1"/>
    </xf>
    <xf numFmtId="0" fontId="8" fillId="61" borderId="21" xfId="59" applyFont="1" applyFill="1" applyBorder="1" applyAlignment="1" applyProtection="1">
      <alignment horizontal="center" vertical="center" wrapText="1"/>
      <protection hidden="1"/>
    </xf>
    <xf numFmtId="174" fontId="8" fillId="61" borderId="21" xfId="59" applyNumberFormat="1" applyFont="1" applyFill="1" applyBorder="1" applyAlignment="1" applyProtection="1">
      <alignment horizontal="center" vertical="center" wrapText="1"/>
      <protection hidden="1"/>
    </xf>
    <xf numFmtId="174" fontId="8" fillId="60" borderId="21" xfId="59" applyNumberFormat="1" applyFont="1" applyFill="1" applyBorder="1" applyAlignment="1" applyProtection="1">
      <alignment horizontal="center" vertical="center" wrapText="1"/>
      <protection hidden="1"/>
    </xf>
    <xf numFmtId="0" fontId="1" fillId="61" borderId="21" xfId="60" applyFill="1" applyBorder="1" applyAlignment="1" applyProtection="1">
      <alignment/>
      <protection hidden="1"/>
    </xf>
    <xf numFmtId="174" fontId="16" fillId="59" borderId="21" xfId="59" applyNumberFormat="1" applyFont="1" applyFill="1" applyBorder="1" applyAlignment="1" applyProtection="1">
      <alignment horizontal="center" vertical="center" wrapText="1"/>
      <protection hidden="1"/>
    </xf>
    <xf numFmtId="3" fontId="16" fillId="59" borderId="21" xfId="59" applyNumberFormat="1" applyFont="1" applyFill="1" applyBorder="1" applyAlignment="1" applyProtection="1">
      <alignment horizontal="center" vertical="center" wrapText="1"/>
      <protection hidden="1"/>
    </xf>
    <xf numFmtId="0" fontId="16" fillId="59" borderId="0" xfId="60" applyFont="1" applyFill="1" applyAlignment="1" applyProtection="1">
      <alignment horizontal="center" vertical="center"/>
      <protection hidden="1"/>
    </xf>
    <xf numFmtId="174" fontId="8" fillId="62" borderId="0" xfId="60" applyNumberFormat="1" applyFont="1" applyFill="1" applyAlignment="1" applyProtection="1">
      <alignment horizontal="center" vertical="center"/>
      <protection hidden="1"/>
    </xf>
    <xf numFmtId="0" fontId="8" fillId="62" borderId="0" xfId="60" applyFont="1" applyFill="1" applyAlignment="1" applyProtection="1">
      <alignment horizontal="center" vertical="center"/>
      <protection hidden="1"/>
    </xf>
    <xf numFmtId="174" fontId="153" fillId="62" borderId="0" xfId="60" applyNumberFormat="1" applyFont="1" applyFill="1" applyAlignment="1" applyProtection="1">
      <alignment horizontal="center" vertical="center"/>
      <protection hidden="1"/>
    </xf>
    <xf numFmtId="3" fontId="153" fillId="62" borderId="0" xfId="60" applyNumberFormat="1" applyFont="1" applyFill="1" applyAlignment="1" applyProtection="1">
      <alignment horizontal="center" vertical="center"/>
      <protection hidden="1"/>
    </xf>
    <xf numFmtId="4" fontId="13" fillId="46" borderId="23" xfId="60" applyNumberFormat="1" applyFont="1" applyFill="1" applyBorder="1" applyAlignment="1" applyProtection="1">
      <alignment horizontal="center" vertical="center"/>
      <protection hidden="1"/>
    </xf>
    <xf numFmtId="0" fontId="26" fillId="39" borderId="0" xfId="60" applyFont="1" applyFill="1" applyBorder="1" applyAlignment="1" applyProtection="1">
      <alignment vertical="center"/>
      <protection hidden="1"/>
    </xf>
    <xf numFmtId="174" fontId="0" fillId="63" borderId="0" xfId="60" applyNumberFormat="1" applyFont="1" applyFill="1" applyBorder="1" applyAlignment="1" applyProtection="1">
      <alignment horizontal="center" vertical="center"/>
      <protection hidden="1"/>
    </xf>
    <xf numFmtId="0" fontId="22" fillId="46" borderId="23" xfId="60" applyFont="1" applyFill="1" applyBorder="1" applyAlignment="1" applyProtection="1">
      <alignment horizontal="center" vertical="center" shrinkToFit="1"/>
      <protection hidden="1"/>
    </xf>
    <xf numFmtId="0" fontId="26" fillId="41" borderId="0" xfId="60" applyFont="1" applyFill="1" applyBorder="1" applyAlignment="1" applyProtection="1">
      <alignment vertical="center"/>
      <protection hidden="1"/>
    </xf>
    <xf numFmtId="4" fontId="26" fillId="39" borderId="0" xfId="60" applyNumberFormat="1" applyFont="1" applyFill="1" applyBorder="1" applyAlignment="1" applyProtection="1">
      <alignment vertical="center"/>
      <protection hidden="1"/>
    </xf>
    <xf numFmtId="0" fontId="26" fillId="57" borderId="23" xfId="60" applyFont="1" applyFill="1" applyBorder="1" applyAlignment="1" applyProtection="1">
      <alignment horizontal="right" vertical="center"/>
      <protection hidden="1"/>
    </xf>
    <xf numFmtId="4" fontId="156" fillId="64" borderId="25" xfId="60" applyNumberFormat="1" applyFont="1" applyFill="1" applyBorder="1" applyAlignment="1" applyProtection="1">
      <alignment horizontal="right" vertical="center"/>
      <protection hidden="1"/>
    </xf>
    <xf numFmtId="4" fontId="156" fillId="64" borderId="22" xfId="60" applyNumberFormat="1" applyFont="1" applyFill="1" applyBorder="1" applyAlignment="1" applyProtection="1">
      <alignment horizontal="right" vertical="center"/>
      <protection hidden="1"/>
    </xf>
    <xf numFmtId="4" fontId="156" fillId="65" borderId="22" xfId="60" applyNumberFormat="1" applyFont="1" applyFill="1" applyBorder="1" applyAlignment="1" applyProtection="1">
      <alignment horizontal="right" vertical="center"/>
      <protection hidden="1"/>
    </xf>
    <xf numFmtId="4" fontId="157" fillId="64" borderId="22" xfId="60" applyNumberFormat="1" applyFont="1" applyFill="1" applyBorder="1" applyAlignment="1" applyProtection="1">
      <alignment horizontal="right" vertical="center"/>
      <protection hidden="1"/>
    </xf>
    <xf numFmtId="4" fontId="157" fillId="64" borderId="28" xfId="60" applyNumberFormat="1" applyFont="1" applyFill="1" applyBorder="1" applyAlignment="1" applyProtection="1">
      <alignment horizontal="right" vertical="center"/>
      <protection hidden="1"/>
    </xf>
    <xf numFmtId="0" fontId="8" fillId="50" borderId="21" xfId="59" applyFont="1" applyFill="1" applyBorder="1" applyAlignment="1" applyProtection="1">
      <alignment horizontal="left" vertical="center" wrapText="1" indent="1"/>
      <protection hidden="1"/>
    </xf>
    <xf numFmtId="172" fontId="8" fillId="50" borderId="21" xfId="59" applyNumberFormat="1" applyFont="1" applyFill="1" applyBorder="1" applyAlignment="1" applyProtection="1">
      <alignment horizontal="center" vertical="center" wrapText="1"/>
      <protection hidden="1"/>
    </xf>
    <xf numFmtId="3" fontId="8" fillId="50" borderId="21" xfId="59" applyNumberFormat="1" applyFont="1" applyFill="1" applyBorder="1" applyAlignment="1" applyProtection="1">
      <alignment horizontal="right" vertical="center" wrapText="1"/>
      <protection hidden="1"/>
    </xf>
    <xf numFmtId="0" fontId="3" fillId="44" borderId="0" xfId="60" applyFont="1" applyFill="1" applyBorder="1" applyAlignment="1" applyProtection="1">
      <alignment horizontal="center" vertical="center" shrinkToFit="1"/>
      <protection hidden="1"/>
    </xf>
    <xf numFmtId="174" fontId="16" fillId="45" borderId="21" xfId="59" applyNumberFormat="1" applyFont="1" applyFill="1" applyBorder="1" applyAlignment="1" applyProtection="1">
      <alignment horizontal="center" vertical="center" wrapText="1"/>
      <protection hidden="1"/>
    </xf>
    <xf numFmtId="0" fontId="158" fillId="41" borderId="0" xfId="60" applyFont="1" applyFill="1" applyAlignment="1" applyProtection="1">
      <alignment horizontal="center" vertical="center"/>
      <protection hidden="1"/>
    </xf>
    <xf numFmtId="0" fontId="37" fillId="45" borderId="0" xfId="60" applyFont="1" applyFill="1" applyBorder="1" applyAlignment="1" applyProtection="1">
      <alignment horizontal="center" vertical="center"/>
      <protection hidden="1"/>
    </xf>
    <xf numFmtId="174" fontId="16" fillId="59" borderId="0" xfId="60" applyNumberFormat="1" applyFont="1" applyFill="1" applyBorder="1" applyAlignment="1" applyProtection="1">
      <alignment horizontal="center" vertical="center"/>
      <protection hidden="1"/>
    </xf>
    <xf numFmtId="3" fontId="16" fillId="59" borderId="0" xfId="60" applyNumberFormat="1" applyFont="1" applyFill="1" applyBorder="1" applyAlignment="1" applyProtection="1">
      <alignment horizontal="center" vertical="center"/>
      <protection hidden="1"/>
    </xf>
    <xf numFmtId="181" fontId="19" fillId="0" borderId="23" xfId="60" applyNumberFormat="1" applyFont="1" applyFill="1" applyBorder="1" applyAlignment="1" applyProtection="1">
      <alignment horizontal="center" vertical="center" shrinkToFit="1"/>
      <protection locked="0"/>
    </xf>
    <xf numFmtId="0" fontId="144" fillId="41" borderId="0" xfId="60" applyFont="1" applyFill="1" applyAlignment="1" applyProtection="1">
      <alignment horizontal="left" vertical="center"/>
      <protection hidden="1"/>
    </xf>
    <xf numFmtId="4" fontId="156" fillId="66" borderId="25" xfId="60" applyNumberFormat="1" applyFont="1" applyFill="1" applyBorder="1" applyAlignment="1" applyProtection="1">
      <alignment horizontal="right" vertical="center"/>
      <protection hidden="1"/>
    </xf>
    <xf numFmtId="4" fontId="156" fillId="66" borderId="22" xfId="60" applyNumberFormat="1" applyFont="1" applyFill="1" applyBorder="1" applyAlignment="1" applyProtection="1">
      <alignment horizontal="right" vertical="center"/>
      <protection hidden="1"/>
    </xf>
    <xf numFmtId="4" fontId="157" fillId="65" borderId="22" xfId="60" applyNumberFormat="1" applyFont="1" applyFill="1" applyBorder="1" applyAlignment="1" applyProtection="1">
      <alignment horizontal="right" vertical="center"/>
      <protection hidden="1"/>
    </xf>
    <xf numFmtId="4" fontId="157" fillId="66" borderId="28" xfId="60" applyNumberFormat="1" applyFont="1" applyFill="1" applyBorder="1" applyAlignment="1" applyProtection="1">
      <alignment horizontal="right" vertical="center"/>
      <protection hidden="1"/>
    </xf>
    <xf numFmtId="0" fontId="38" fillId="67" borderId="0" xfId="60" applyFont="1" applyFill="1" applyAlignment="1" applyProtection="1">
      <alignment vertical="center"/>
      <protection hidden="1"/>
    </xf>
    <xf numFmtId="0" fontId="39" fillId="67" borderId="0" xfId="60" applyFont="1" applyFill="1" applyAlignment="1" applyProtection="1">
      <alignment horizontal="center" vertical="center"/>
      <protection hidden="1"/>
    </xf>
    <xf numFmtId="0" fontId="38" fillId="67" borderId="0" xfId="60" applyFont="1" applyFill="1" applyAlignment="1" applyProtection="1">
      <alignment horizontal="center" vertical="center"/>
      <protection hidden="1"/>
    </xf>
    <xf numFmtId="0" fontId="1" fillId="68" borderId="0" xfId="60" applyFill="1" applyAlignment="1" applyProtection="1">
      <alignment/>
      <protection hidden="1"/>
    </xf>
    <xf numFmtId="0" fontId="38" fillId="69" borderId="0" xfId="60" applyFont="1" applyFill="1" applyAlignment="1" applyProtection="1">
      <alignment vertical="center"/>
      <protection hidden="1"/>
    </xf>
    <xf numFmtId="0" fontId="38" fillId="39" borderId="0" xfId="60" applyFont="1" applyFill="1" applyAlignment="1" applyProtection="1">
      <alignment horizontal="center" vertical="center"/>
      <protection hidden="1"/>
    </xf>
    <xf numFmtId="0" fontId="38" fillId="70" borderId="0" xfId="60" applyFont="1" applyFill="1" applyAlignment="1" applyProtection="1">
      <alignment horizontal="center" vertical="center"/>
      <protection hidden="1"/>
    </xf>
    <xf numFmtId="0" fontId="14" fillId="39" borderId="0" xfId="60" applyFont="1" applyFill="1" applyAlignment="1" applyProtection="1">
      <alignment vertical="center"/>
      <protection hidden="1"/>
    </xf>
    <xf numFmtId="0" fontId="159" fillId="71" borderId="0" xfId="60" applyFont="1" applyFill="1" applyBorder="1" applyAlignment="1" applyProtection="1">
      <alignment horizontal="left" vertical="center" indent="1"/>
      <protection hidden="1"/>
    </xf>
    <xf numFmtId="0" fontId="9" fillId="39" borderId="0" xfId="60" applyNumberFormat="1" applyFont="1" applyFill="1" applyBorder="1" applyAlignment="1" applyProtection="1">
      <alignment vertical="center"/>
      <protection hidden="1"/>
    </xf>
    <xf numFmtId="0" fontId="41" fillId="39" borderId="0" xfId="60" applyFont="1" applyFill="1" applyAlignment="1" applyProtection="1">
      <alignment horizontal="left" vertical="center" indent="1"/>
      <protection hidden="1"/>
    </xf>
    <xf numFmtId="0" fontId="160" fillId="39" borderId="0" xfId="60" applyNumberFormat="1" applyFont="1" applyFill="1" applyAlignment="1" applyProtection="1">
      <alignment horizontal="left" vertical="top" wrapText="1"/>
      <protection hidden="1"/>
    </xf>
    <xf numFmtId="0" fontId="159" fillId="72" borderId="0" xfId="60" applyFont="1" applyFill="1" applyBorder="1" applyAlignment="1" applyProtection="1">
      <alignment horizontal="left" vertical="center" indent="1"/>
      <protection hidden="1"/>
    </xf>
    <xf numFmtId="49" fontId="9" fillId="39" borderId="0" xfId="60" applyNumberFormat="1" applyFont="1" applyFill="1" applyBorder="1" applyAlignment="1" applyProtection="1">
      <alignment vertical="center"/>
      <protection hidden="1"/>
    </xf>
    <xf numFmtId="0" fontId="38" fillId="68" borderId="0" xfId="60" applyFont="1" applyFill="1" applyAlignment="1" applyProtection="1">
      <alignment/>
      <protection hidden="1"/>
    </xf>
    <xf numFmtId="0" fontId="38" fillId="0" borderId="0" xfId="60" applyFont="1" applyFill="1" applyAlignment="1" applyProtection="1">
      <alignment/>
      <protection hidden="1"/>
    </xf>
    <xf numFmtId="0" fontId="1" fillId="73" borderId="0" xfId="60" applyFill="1" applyAlignment="1" applyProtection="1">
      <alignment/>
      <protection hidden="1"/>
    </xf>
    <xf numFmtId="0" fontId="1" fillId="73" borderId="0" xfId="60" applyFill="1" applyAlignment="1" applyProtection="1">
      <alignment vertical="center"/>
      <protection hidden="1"/>
    </xf>
    <xf numFmtId="0" fontId="45" fillId="0" borderId="0" xfId="60" applyFont="1" applyFill="1" applyBorder="1" applyAlignment="1" applyProtection="1">
      <alignment vertical="center"/>
      <protection hidden="1"/>
    </xf>
    <xf numFmtId="0" fontId="46" fillId="73" borderId="0" xfId="60" applyFont="1" applyFill="1" applyAlignment="1" applyProtection="1">
      <alignment vertical="center"/>
      <protection hidden="1"/>
    </xf>
    <xf numFmtId="0" fontId="46" fillId="0" borderId="0" xfId="60" applyFont="1" applyFill="1" applyAlignment="1" applyProtection="1">
      <alignment vertical="center"/>
      <protection hidden="1"/>
    </xf>
    <xf numFmtId="0" fontId="1" fillId="2" borderId="0" xfId="60" applyFill="1" applyAlignment="1" applyProtection="1">
      <alignment/>
      <protection hidden="1"/>
    </xf>
    <xf numFmtId="0" fontId="38" fillId="2" borderId="0" xfId="60" applyFont="1" applyFill="1" applyAlignment="1" applyProtection="1">
      <alignment/>
      <protection hidden="1"/>
    </xf>
    <xf numFmtId="0" fontId="1" fillId="74" borderId="0" xfId="60" applyFill="1" applyAlignment="1" applyProtection="1">
      <alignment/>
      <protection hidden="1"/>
    </xf>
    <xf numFmtId="0" fontId="38" fillId="75" borderId="0" xfId="60" applyFont="1" applyFill="1" applyAlignment="1" applyProtection="1">
      <alignment horizontal="center" vertical="center"/>
      <protection hidden="1"/>
    </xf>
    <xf numFmtId="0" fontId="38" fillId="76" borderId="0" xfId="60" applyFont="1" applyFill="1" applyAlignment="1" applyProtection="1">
      <alignment horizontal="center" vertical="center"/>
      <protection hidden="1"/>
    </xf>
    <xf numFmtId="0" fontId="161" fillId="2" borderId="0" xfId="60" applyFont="1" applyFill="1" applyAlignment="1" applyProtection="1">
      <alignment/>
      <protection hidden="1"/>
    </xf>
    <xf numFmtId="0" fontId="161" fillId="0" borderId="0" xfId="60" applyFont="1" applyFill="1" applyAlignment="1" applyProtection="1">
      <alignment/>
      <protection hidden="1"/>
    </xf>
    <xf numFmtId="0" fontId="14" fillId="77" borderId="0" xfId="60" applyFont="1" applyFill="1" applyAlignment="1" applyProtection="1">
      <alignment vertical="center"/>
      <protection hidden="1"/>
    </xf>
    <xf numFmtId="0" fontId="14" fillId="78" borderId="0" xfId="60" applyFont="1" applyFill="1" applyAlignment="1" applyProtection="1">
      <alignment vertical="center"/>
      <protection hidden="1"/>
    </xf>
    <xf numFmtId="0" fontId="153" fillId="79" borderId="0" xfId="60" applyFont="1" applyFill="1" applyBorder="1" applyAlignment="1" applyProtection="1">
      <alignment horizontal="left" vertical="center" indent="1"/>
      <protection hidden="1"/>
    </xf>
    <xf numFmtId="0" fontId="153" fillId="79" borderId="0" xfId="60" applyFont="1" applyFill="1" applyBorder="1" applyAlignment="1" applyProtection="1">
      <alignment vertical="center"/>
      <protection hidden="1"/>
    </xf>
    <xf numFmtId="0" fontId="162" fillId="79" borderId="0" xfId="60" applyNumberFormat="1" applyFont="1" applyFill="1" applyBorder="1" applyAlignment="1" applyProtection="1">
      <alignment vertical="center" shrinkToFit="1"/>
      <protection hidden="1"/>
    </xf>
    <xf numFmtId="0" fontId="163" fillId="80" borderId="0" xfId="60" applyNumberFormat="1" applyFont="1" applyFill="1" applyBorder="1" applyAlignment="1" applyProtection="1">
      <alignment vertical="center" shrinkToFit="1"/>
      <protection hidden="1"/>
    </xf>
    <xf numFmtId="0" fontId="153" fillId="2" borderId="0" xfId="60" applyFont="1" applyFill="1" applyBorder="1" applyAlignment="1" applyProtection="1">
      <alignment horizontal="left" vertical="center" indent="1"/>
      <protection hidden="1"/>
    </xf>
    <xf numFmtId="0" fontId="153" fillId="2" borderId="0" xfId="60" applyFont="1" applyFill="1" applyBorder="1" applyAlignment="1" applyProtection="1">
      <alignment vertical="center"/>
      <protection hidden="1"/>
    </xf>
    <xf numFmtId="0" fontId="157" fillId="2" borderId="0" xfId="60" applyNumberFormat="1" applyFont="1" applyFill="1" applyBorder="1" applyAlignment="1" applyProtection="1">
      <alignment vertical="center" shrinkToFit="1"/>
      <protection locked="0"/>
    </xf>
    <xf numFmtId="49" fontId="153" fillId="79" borderId="0" xfId="60" applyNumberFormat="1" applyFont="1" applyFill="1" applyBorder="1" applyAlignment="1" applyProtection="1">
      <alignment vertical="center" shrinkToFit="1"/>
      <protection locked="0"/>
    </xf>
    <xf numFmtId="49" fontId="153" fillId="2" borderId="0" xfId="60" applyNumberFormat="1" applyFont="1" applyFill="1" applyBorder="1" applyAlignment="1" applyProtection="1">
      <alignment vertical="center" shrinkToFit="1"/>
      <protection locked="0"/>
    </xf>
    <xf numFmtId="49" fontId="163" fillId="80" borderId="0" xfId="60" applyNumberFormat="1" applyFont="1" applyFill="1" applyBorder="1" applyAlignment="1" applyProtection="1">
      <alignment vertical="center" shrinkToFit="1"/>
      <protection hidden="1"/>
    </xf>
    <xf numFmtId="49" fontId="153" fillId="79" borderId="0" xfId="53" applyNumberFormat="1" applyFont="1" applyFill="1" applyBorder="1" applyAlignment="1" applyProtection="1">
      <alignment vertical="center" shrinkToFit="1"/>
      <protection locked="0"/>
    </xf>
    <xf numFmtId="0" fontId="164" fillId="80" borderId="0" xfId="53" applyNumberFormat="1" applyFont="1" applyFill="1" applyBorder="1" applyAlignment="1" applyProtection="1">
      <alignment vertical="center" shrinkToFit="1"/>
      <protection hidden="1"/>
    </xf>
    <xf numFmtId="186" fontId="153" fillId="79" borderId="0" xfId="53" applyNumberFormat="1" applyFont="1" applyFill="1" applyBorder="1" applyAlignment="1" applyProtection="1">
      <alignment horizontal="left" vertical="center" shrinkToFit="1"/>
      <protection locked="0"/>
    </xf>
    <xf numFmtId="186" fontId="153" fillId="81" borderId="0" xfId="53" applyNumberFormat="1" applyFont="1" applyFill="1" applyBorder="1" applyAlignment="1" applyProtection="1">
      <alignment horizontal="left" vertical="center" shrinkToFit="1"/>
      <protection locked="0"/>
    </xf>
    <xf numFmtId="2" fontId="165" fillId="80" borderId="0" xfId="53" applyNumberFormat="1" applyFont="1" applyFill="1" applyBorder="1" applyAlignment="1" applyProtection="1">
      <alignment vertical="center" shrinkToFit="1"/>
      <protection hidden="1"/>
    </xf>
    <xf numFmtId="0" fontId="166" fillId="0" borderId="0" xfId="60" applyFont="1" applyFill="1" applyAlignment="1" applyProtection="1">
      <alignment vertical="center"/>
      <protection hidden="1"/>
    </xf>
    <xf numFmtId="0" fontId="38" fillId="0" borderId="0" xfId="60" applyFont="1" applyAlignment="1" applyProtection="1">
      <alignment/>
      <protection hidden="1"/>
    </xf>
    <xf numFmtId="0" fontId="14" fillId="39" borderId="0" xfId="60" applyFont="1" applyFill="1" applyBorder="1" applyAlignment="1" applyProtection="1">
      <alignment horizontal="right" vertical="center"/>
      <protection hidden="1"/>
    </xf>
    <xf numFmtId="0" fontId="14" fillId="82" borderId="35" xfId="60" applyFont="1" applyFill="1" applyBorder="1" applyAlignment="1" applyProtection="1">
      <alignment vertical="center"/>
      <protection hidden="1"/>
    </xf>
    <xf numFmtId="0" fontId="14" fillId="82" borderId="36" xfId="60" applyFont="1" applyFill="1" applyBorder="1" applyAlignment="1" applyProtection="1">
      <alignment vertical="center"/>
      <protection hidden="1"/>
    </xf>
    <xf numFmtId="0" fontId="14" fillId="82" borderId="37" xfId="60" applyFont="1" applyFill="1" applyBorder="1" applyAlignment="1" applyProtection="1">
      <alignment vertical="center"/>
      <protection hidden="1"/>
    </xf>
    <xf numFmtId="0" fontId="14" fillId="82" borderId="0" xfId="60" applyFont="1" applyFill="1" applyBorder="1" applyAlignment="1" applyProtection="1">
      <alignment horizontal="right" vertical="center"/>
      <protection hidden="1"/>
    </xf>
    <xf numFmtId="0" fontId="14" fillId="82" borderId="0" xfId="60" applyFont="1" applyFill="1" applyBorder="1" applyAlignment="1" applyProtection="1">
      <alignment vertical="center"/>
      <protection hidden="1"/>
    </xf>
    <xf numFmtId="0" fontId="14" fillId="82" borderId="38" xfId="60" applyFont="1" applyFill="1" applyBorder="1" applyAlignment="1" applyProtection="1">
      <alignment vertical="center"/>
      <protection hidden="1"/>
    </xf>
    <xf numFmtId="0" fontId="14" fillId="82" borderId="39" xfId="60" applyFont="1" applyFill="1" applyBorder="1" applyAlignment="1" applyProtection="1">
      <alignment horizontal="right" vertical="center"/>
      <protection hidden="1"/>
    </xf>
    <xf numFmtId="0" fontId="14" fillId="82" borderId="39" xfId="60" applyFont="1" applyFill="1" applyBorder="1" applyAlignment="1" applyProtection="1">
      <alignment vertical="center"/>
      <protection hidden="1"/>
    </xf>
    <xf numFmtId="0" fontId="14" fillId="82" borderId="40" xfId="60" applyFont="1" applyFill="1" applyBorder="1" applyAlignment="1" applyProtection="1">
      <alignment vertical="center"/>
      <protection hidden="1"/>
    </xf>
    <xf numFmtId="0" fontId="14" fillId="82" borderId="41" xfId="60" applyFont="1" applyFill="1" applyBorder="1" applyAlignment="1" applyProtection="1">
      <alignment vertical="center"/>
      <protection hidden="1"/>
    </xf>
    <xf numFmtId="0" fontId="49" fillId="82" borderId="0" xfId="60" applyFont="1" applyFill="1" applyBorder="1" applyAlignment="1" applyProtection="1">
      <alignment horizontal="right" vertical="center"/>
      <protection hidden="1"/>
    </xf>
    <xf numFmtId="0" fontId="14" fillId="82" borderId="42" xfId="60" applyFont="1" applyFill="1" applyBorder="1" applyAlignment="1" applyProtection="1">
      <alignment vertical="center"/>
      <protection hidden="1"/>
    </xf>
    <xf numFmtId="0" fontId="49" fillId="82" borderId="39" xfId="60" applyFont="1" applyFill="1" applyBorder="1" applyAlignment="1" applyProtection="1">
      <alignment horizontal="right" vertical="center"/>
      <protection hidden="1"/>
    </xf>
    <xf numFmtId="0" fontId="19" fillId="83" borderId="23" xfId="60" applyFont="1" applyFill="1" applyBorder="1" applyAlignment="1" applyProtection="1">
      <alignment horizontal="center" vertical="center" shrinkToFit="1"/>
      <protection hidden="1"/>
    </xf>
    <xf numFmtId="0" fontId="19" fillId="6" borderId="23" xfId="60" applyFont="1" applyFill="1" applyBorder="1" applyAlignment="1" applyProtection="1">
      <alignment horizontal="center" vertical="center" shrinkToFit="1"/>
      <protection hidden="1"/>
    </xf>
    <xf numFmtId="0" fontId="19" fillId="6" borderId="23" xfId="60" applyFont="1" applyFill="1" applyBorder="1" applyAlignment="1" applyProtection="1">
      <alignment horizontal="center" vertical="center"/>
      <protection locked="0"/>
    </xf>
    <xf numFmtId="0" fontId="19" fillId="84" borderId="23" xfId="60" applyFont="1" applyFill="1" applyBorder="1" applyAlignment="1" applyProtection="1">
      <alignment horizontal="center" vertical="center" shrinkToFit="1"/>
      <protection hidden="1"/>
    </xf>
    <xf numFmtId="0" fontId="19" fillId="85" borderId="23" xfId="60" applyFont="1" applyFill="1" applyBorder="1" applyAlignment="1" applyProtection="1">
      <alignment horizontal="center" vertical="center" shrinkToFit="1"/>
      <protection hidden="1"/>
    </xf>
    <xf numFmtId="0" fontId="19" fillId="85" borderId="23" xfId="60" applyFont="1" applyFill="1" applyBorder="1" applyAlignment="1" applyProtection="1">
      <alignment horizontal="center" vertical="center"/>
      <protection locked="0"/>
    </xf>
    <xf numFmtId="0" fontId="128" fillId="39" borderId="0" xfId="60" applyFont="1" applyFill="1" applyBorder="1" applyAlignment="1" applyProtection="1">
      <alignment vertical="center"/>
      <protection hidden="1"/>
    </xf>
    <xf numFmtId="0" fontId="128" fillId="39" borderId="0" xfId="60" applyFont="1" applyFill="1" applyAlignment="1" applyProtection="1">
      <alignment vertical="center"/>
      <protection hidden="1"/>
    </xf>
    <xf numFmtId="0" fontId="128" fillId="86" borderId="0" xfId="60" applyFont="1" applyFill="1" applyAlignment="1" applyProtection="1">
      <alignment horizontal="center" vertical="center"/>
      <protection hidden="1"/>
    </xf>
    <xf numFmtId="0" fontId="149" fillId="42" borderId="22" xfId="60" applyFont="1" applyFill="1" applyBorder="1" applyAlignment="1" applyProtection="1">
      <alignment horizontal="center" vertical="center"/>
      <protection hidden="1"/>
    </xf>
    <xf numFmtId="0" fontId="167" fillId="87" borderId="0" xfId="60" applyFont="1" applyFill="1" applyAlignment="1" applyProtection="1">
      <alignment vertical="center"/>
      <protection hidden="1"/>
    </xf>
    <xf numFmtId="0" fontId="167" fillId="88" borderId="0" xfId="60" applyFont="1" applyFill="1" applyAlignment="1" applyProtection="1">
      <alignment vertical="center"/>
      <protection hidden="1"/>
    </xf>
    <xf numFmtId="0" fontId="167" fillId="87" borderId="0" xfId="60" applyFont="1" applyFill="1" applyAlignment="1" applyProtection="1">
      <alignment horizontal="left" vertical="center"/>
      <protection hidden="1"/>
    </xf>
    <xf numFmtId="0" fontId="19" fillId="84" borderId="23" xfId="60" applyFont="1" applyFill="1" applyBorder="1" applyAlignment="1" applyProtection="1">
      <alignment horizontal="center" vertical="center" shrinkToFit="1"/>
      <protection locked="0"/>
    </xf>
    <xf numFmtId="0" fontId="26" fillId="39" borderId="0" xfId="60" applyFont="1" applyFill="1" applyBorder="1" applyAlignment="1" applyProtection="1">
      <alignment horizontal="left" vertical="center"/>
      <protection hidden="1"/>
    </xf>
    <xf numFmtId="4" fontId="168" fillId="89" borderId="22" xfId="60" applyNumberFormat="1" applyFont="1" applyFill="1" applyBorder="1" applyAlignment="1" applyProtection="1">
      <alignment horizontal="right" vertical="center"/>
      <protection hidden="1"/>
    </xf>
    <xf numFmtId="0" fontId="19" fillId="84" borderId="23" xfId="60" applyFont="1" applyFill="1" applyBorder="1" applyAlignment="1" applyProtection="1">
      <alignment horizontal="center" vertical="center" shrinkToFit="1"/>
      <protection hidden="1"/>
    </xf>
    <xf numFmtId="0" fontId="19" fillId="84" borderId="34" xfId="60" applyFont="1" applyFill="1" applyBorder="1" applyAlignment="1" applyProtection="1">
      <alignment horizontal="center" vertical="center" shrinkToFit="1"/>
      <protection hidden="1"/>
    </xf>
    <xf numFmtId="0" fontId="19" fillId="84" borderId="23" xfId="60" applyFont="1" applyFill="1" applyBorder="1" applyAlignment="1" applyProtection="1">
      <alignment horizontal="center" vertical="center" shrinkToFit="1"/>
      <protection locked="0"/>
    </xf>
    <xf numFmtId="174" fontId="15" fillId="82" borderId="0" xfId="60" applyNumberFormat="1" applyFont="1" applyFill="1" applyBorder="1" applyAlignment="1" applyProtection="1">
      <alignment horizontal="right" vertical="center"/>
      <protection hidden="1"/>
    </xf>
    <xf numFmtId="0" fontId="149" fillId="42" borderId="25" xfId="60" applyFont="1" applyFill="1" applyBorder="1" applyAlignment="1" applyProtection="1">
      <alignment vertical="center"/>
      <protection hidden="1"/>
    </xf>
    <xf numFmtId="0" fontId="150" fillId="52" borderId="25" xfId="60" applyFont="1" applyFill="1" applyBorder="1" applyAlignment="1" applyProtection="1">
      <alignment vertical="center"/>
      <protection hidden="1"/>
    </xf>
    <xf numFmtId="0" fontId="149" fillId="42" borderId="32" xfId="60" applyFont="1" applyFill="1" applyBorder="1" applyAlignment="1" applyProtection="1">
      <alignment vertical="center"/>
      <protection hidden="1"/>
    </xf>
    <xf numFmtId="0" fontId="150" fillId="52" borderId="25" xfId="60" applyFont="1" applyFill="1" applyBorder="1" applyAlignment="1" applyProtection="1">
      <alignment horizontal="center" vertical="center"/>
      <protection hidden="1"/>
    </xf>
    <xf numFmtId="0" fontId="149" fillId="42" borderId="32" xfId="60" applyFont="1" applyFill="1" applyBorder="1" applyAlignment="1" applyProtection="1">
      <alignment horizontal="center" vertical="center"/>
      <protection hidden="1"/>
    </xf>
    <xf numFmtId="0" fontId="31" fillId="90" borderId="0" xfId="60" applyFont="1" applyFill="1" applyAlignment="1" applyProtection="1">
      <alignment vertical="center"/>
      <protection hidden="1"/>
    </xf>
    <xf numFmtId="4" fontId="26" fillId="57" borderId="23" xfId="60" applyNumberFormat="1" applyFont="1" applyFill="1" applyBorder="1" applyAlignment="1" applyProtection="1">
      <alignment horizontal="right" vertical="center"/>
      <protection hidden="1"/>
    </xf>
    <xf numFmtId="4" fontId="14" fillId="82" borderId="0" xfId="60" applyNumberFormat="1" applyFont="1" applyFill="1" applyBorder="1" applyAlignment="1" applyProtection="1">
      <alignment horizontal="right" vertical="center"/>
      <protection hidden="1"/>
    </xf>
    <xf numFmtId="0" fontId="31" fillId="91" borderId="0" xfId="60" applyFont="1" applyFill="1" applyAlignment="1" applyProtection="1">
      <alignment vertical="center" shrinkToFit="1"/>
      <protection hidden="1"/>
    </xf>
    <xf numFmtId="0" fontId="31" fillId="91" borderId="0" xfId="60" applyFont="1" applyFill="1" applyAlignment="1" applyProtection="1">
      <alignment horizontal="left" vertical="center" shrinkToFit="1"/>
      <protection hidden="1"/>
    </xf>
    <xf numFmtId="0" fontId="52" fillId="14" borderId="0" xfId="60" applyFont="1" applyFill="1" applyAlignment="1" applyProtection="1">
      <alignment vertical="center"/>
      <protection locked="0"/>
    </xf>
    <xf numFmtId="0" fontId="169" fillId="92" borderId="43" xfId="60" applyFont="1" applyFill="1" applyBorder="1" applyAlignment="1" applyProtection="1">
      <alignment horizontal="center" vertical="center" shrinkToFit="1"/>
      <protection hidden="1"/>
    </xf>
    <xf numFmtId="3" fontId="170" fillId="93" borderId="43" xfId="60" applyNumberFormat="1" applyFont="1" applyFill="1" applyBorder="1" applyAlignment="1" applyProtection="1">
      <alignment horizontal="center" vertical="center" shrinkToFit="1"/>
      <protection hidden="1"/>
    </xf>
    <xf numFmtId="0" fontId="146" fillId="42" borderId="22" xfId="60" applyFont="1" applyFill="1" applyBorder="1" applyAlignment="1" applyProtection="1">
      <alignment vertical="center"/>
      <protection hidden="1"/>
    </xf>
    <xf numFmtId="0" fontId="53" fillId="82" borderId="0" xfId="60" applyFont="1" applyFill="1" applyBorder="1" applyAlignment="1" applyProtection="1">
      <alignment vertical="center"/>
      <protection hidden="1"/>
    </xf>
    <xf numFmtId="4" fontId="15" fillId="40" borderId="0" xfId="60" applyNumberFormat="1" applyFont="1" applyFill="1" applyAlignment="1" applyProtection="1">
      <alignment/>
      <protection hidden="1"/>
    </xf>
    <xf numFmtId="0" fontId="15" fillId="40" borderId="23" xfId="60" applyFont="1" applyFill="1" applyBorder="1" applyAlignment="1" applyProtection="1">
      <alignment horizontal="center" vertical="center"/>
      <protection hidden="1"/>
    </xf>
    <xf numFmtId="0" fontId="15" fillId="40" borderId="0" xfId="60" applyFont="1" applyFill="1" applyAlignment="1" applyProtection="1">
      <alignment horizontal="left" vertical="center"/>
      <protection hidden="1"/>
    </xf>
    <xf numFmtId="0" fontId="15" fillId="40" borderId="0" xfId="60" applyFont="1" applyFill="1" applyBorder="1" applyAlignment="1" applyProtection="1">
      <alignment horizontal="left" vertical="center"/>
      <protection hidden="1"/>
    </xf>
    <xf numFmtId="0" fontId="146" fillId="42" borderId="29" xfId="60" applyFont="1" applyFill="1" applyBorder="1" applyAlignment="1" applyProtection="1">
      <alignment vertical="center"/>
      <protection hidden="1"/>
    </xf>
    <xf numFmtId="4" fontId="128" fillId="55" borderId="0" xfId="60" applyNumberFormat="1" applyFont="1" applyFill="1" applyAlignment="1" applyProtection="1">
      <alignment vertical="center"/>
      <protection hidden="1"/>
    </xf>
    <xf numFmtId="0" fontId="55" fillId="39" borderId="0" xfId="60" applyFont="1" applyFill="1" applyBorder="1" applyAlignment="1" applyProtection="1">
      <alignment vertical="center"/>
      <protection hidden="1"/>
    </xf>
    <xf numFmtId="0" fontId="128" fillId="55" borderId="34" xfId="60" applyFont="1" applyFill="1" applyBorder="1" applyAlignment="1" applyProtection="1">
      <alignment horizontal="center" vertical="center"/>
      <protection hidden="1"/>
    </xf>
    <xf numFmtId="0" fontId="128" fillId="55" borderId="44" xfId="60" applyFont="1" applyFill="1" applyBorder="1" applyAlignment="1" applyProtection="1">
      <alignment horizontal="center" vertical="center"/>
      <protection hidden="1"/>
    </xf>
    <xf numFmtId="3" fontId="8" fillId="43" borderId="20" xfId="58" applyNumberFormat="1" applyFont="1" applyFill="1" applyBorder="1" applyAlignment="1" applyProtection="1">
      <alignment vertical="center" wrapText="1"/>
      <protection hidden="1"/>
    </xf>
    <xf numFmtId="3" fontId="21" fillId="46" borderId="23" xfId="60" applyNumberFormat="1" applyFont="1" applyFill="1" applyBorder="1" applyAlignment="1" applyProtection="1">
      <alignment horizontal="right" vertical="center"/>
      <protection hidden="1"/>
    </xf>
    <xf numFmtId="0" fontId="53" fillId="94" borderId="0" xfId="60" applyFont="1" applyFill="1" applyBorder="1" applyAlignment="1" applyProtection="1">
      <alignment vertical="center"/>
      <protection hidden="1"/>
    </xf>
    <xf numFmtId="0" fontId="53" fillId="46" borderId="23" xfId="60" applyFont="1" applyFill="1" applyBorder="1" applyAlignment="1" applyProtection="1">
      <alignment vertical="center" shrinkToFit="1"/>
      <protection hidden="1"/>
    </xf>
    <xf numFmtId="172" fontId="8" fillId="43" borderId="23" xfId="58" applyNumberFormat="1" applyFont="1" applyFill="1" applyBorder="1" applyAlignment="1" applyProtection="1">
      <alignment vertical="center" shrinkToFit="1"/>
      <protection hidden="1"/>
    </xf>
    <xf numFmtId="172" fontId="8" fillId="51" borderId="23" xfId="58" applyNumberFormat="1" applyFont="1" applyFill="1" applyBorder="1" applyAlignment="1" applyProtection="1">
      <alignment vertical="center" shrinkToFit="1"/>
      <protection hidden="1"/>
    </xf>
    <xf numFmtId="172" fontId="53" fillId="46" borderId="23" xfId="60" applyNumberFormat="1" applyFont="1" applyFill="1" applyBorder="1" applyAlignment="1" applyProtection="1">
      <alignment vertical="center" shrinkToFit="1"/>
      <protection hidden="1"/>
    </xf>
    <xf numFmtId="172" fontId="128" fillId="55" borderId="23" xfId="60" applyNumberFormat="1" applyFont="1" applyFill="1" applyBorder="1" applyAlignment="1" applyProtection="1">
      <alignment vertical="center" shrinkToFit="1"/>
      <protection hidden="1"/>
    </xf>
    <xf numFmtId="172" fontId="144" fillId="95" borderId="23" xfId="60" applyNumberFormat="1" applyFont="1" applyFill="1" applyBorder="1" applyAlignment="1" applyProtection="1">
      <alignment vertical="center" shrinkToFit="1"/>
      <protection hidden="1"/>
    </xf>
    <xf numFmtId="0" fontId="15" fillId="95" borderId="0" xfId="60" applyFont="1" applyFill="1" applyAlignment="1" applyProtection="1">
      <alignment vertical="center"/>
      <protection hidden="1"/>
    </xf>
    <xf numFmtId="0" fontId="15" fillId="94" borderId="0" xfId="60" applyFont="1" applyFill="1" applyBorder="1" applyAlignment="1" applyProtection="1">
      <alignment vertical="center"/>
      <protection hidden="1"/>
    </xf>
    <xf numFmtId="4" fontId="15" fillId="95" borderId="0" xfId="60" applyNumberFormat="1" applyFont="1" applyFill="1" applyAlignment="1" applyProtection="1">
      <alignment vertical="center"/>
      <protection hidden="1"/>
    </xf>
    <xf numFmtId="4" fontId="15" fillId="74" borderId="0" xfId="60" applyNumberFormat="1" applyFont="1" applyFill="1" applyAlignment="1" applyProtection="1">
      <alignment/>
      <protection hidden="1"/>
    </xf>
    <xf numFmtId="1" fontId="171" fillId="55" borderId="0" xfId="60" applyNumberFormat="1" applyFont="1" applyFill="1" applyAlignment="1" applyProtection="1">
      <alignment vertical="center"/>
      <protection hidden="1"/>
    </xf>
    <xf numFmtId="3" fontId="172" fillId="55" borderId="0" xfId="60" applyNumberFormat="1" applyFont="1" applyFill="1" applyAlignment="1" applyProtection="1">
      <alignment horizontal="right" vertical="center"/>
      <protection hidden="1"/>
    </xf>
    <xf numFmtId="4" fontId="151" fillId="60" borderId="22" xfId="60" applyNumberFormat="1" applyFont="1" applyFill="1" applyBorder="1" applyAlignment="1" applyProtection="1">
      <alignment horizontal="right" vertical="center"/>
      <protection hidden="1"/>
    </xf>
    <xf numFmtId="4" fontId="151" fillId="60" borderId="20" xfId="60" applyNumberFormat="1" applyFont="1" applyFill="1" applyBorder="1" applyAlignment="1" applyProtection="1">
      <alignment horizontal="right" vertical="center"/>
      <protection hidden="1"/>
    </xf>
    <xf numFmtId="4" fontId="151" fillId="60" borderId="29" xfId="60" applyNumberFormat="1" applyFont="1" applyFill="1" applyBorder="1" applyAlignment="1" applyProtection="1">
      <alignment horizontal="right" vertical="center"/>
      <protection hidden="1"/>
    </xf>
    <xf numFmtId="0" fontId="131" fillId="86" borderId="0" xfId="60" applyFont="1" applyFill="1" applyAlignment="1" applyProtection="1">
      <alignment horizontal="right" vertical="center"/>
      <protection hidden="1"/>
    </xf>
    <xf numFmtId="0" fontId="33" fillId="39" borderId="0" xfId="60" applyFont="1" applyFill="1" applyAlignment="1" applyProtection="1">
      <alignment horizontal="right" vertical="center"/>
      <protection hidden="1"/>
    </xf>
    <xf numFmtId="0" fontId="1" fillId="39" borderId="0" xfId="60" applyFill="1" applyAlignment="1" applyProtection="1">
      <alignment horizontal="right" vertical="center"/>
      <protection hidden="1"/>
    </xf>
    <xf numFmtId="4" fontId="172" fillId="55" borderId="0" xfId="60" applyNumberFormat="1" applyFont="1" applyFill="1" applyAlignment="1" applyProtection="1">
      <alignment horizontal="center" vertical="center"/>
      <protection hidden="1"/>
    </xf>
    <xf numFmtId="0" fontId="167" fillId="87" borderId="0" xfId="60" applyFont="1" applyFill="1" applyAlignment="1" applyProtection="1">
      <alignment horizontal="right" vertical="center"/>
      <protection hidden="1"/>
    </xf>
    <xf numFmtId="4" fontId="172" fillId="55" borderId="0" xfId="60" applyNumberFormat="1" applyFont="1" applyFill="1" applyAlignment="1" applyProtection="1">
      <alignment horizontal="right" vertical="center"/>
      <protection hidden="1"/>
    </xf>
    <xf numFmtId="0" fontId="26" fillId="39" borderId="0" xfId="60" applyFont="1" applyFill="1" applyBorder="1" applyAlignment="1" applyProtection="1">
      <alignment horizontal="right" vertical="center"/>
      <protection hidden="1"/>
    </xf>
    <xf numFmtId="0" fontId="57" fillId="39" borderId="0" xfId="60" applyFont="1" applyFill="1" applyBorder="1" applyAlignment="1" applyProtection="1">
      <alignment vertical="center"/>
      <protection hidden="1"/>
    </xf>
    <xf numFmtId="0" fontId="56" fillId="45" borderId="21" xfId="58" applyFont="1" applyFill="1" applyBorder="1" applyAlignment="1" applyProtection="1">
      <alignment horizontal="left" vertical="center" wrapText="1" indent="1"/>
      <protection hidden="1"/>
    </xf>
    <xf numFmtId="0" fontId="56" fillId="45" borderId="21" xfId="58" applyFont="1" applyFill="1" applyBorder="1" applyAlignment="1" applyProtection="1">
      <alignment horizontal="center" vertical="center" wrapText="1"/>
      <protection hidden="1"/>
    </xf>
    <xf numFmtId="0" fontId="58" fillId="39" borderId="0" xfId="60" applyFont="1" applyFill="1" applyAlignment="1" applyProtection="1">
      <alignment vertical="center"/>
      <protection hidden="1"/>
    </xf>
    <xf numFmtId="0" fontId="58" fillId="40" borderId="0" xfId="60" applyFont="1" applyFill="1" applyAlignment="1" applyProtection="1">
      <alignment vertical="center"/>
      <protection hidden="1"/>
    </xf>
    <xf numFmtId="0" fontId="59" fillId="0" borderId="0" xfId="60" applyFont="1" applyAlignment="1" applyProtection="1">
      <alignment vertical="center"/>
      <protection hidden="1"/>
    </xf>
    <xf numFmtId="0" fontId="128" fillId="86" borderId="21" xfId="60" applyFont="1" applyFill="1" applyBorder="1" applyAlignment="1" applyProtection="1">
      <alignment horizontal="center" vertical="center"/>
      <protection hidden="1"/>
    </xf>
    <xf numFmtId="0" fontId="128" fillId="86" borderId="45" xfId="60" applyFont="1" applyFill="1" applyBorder="1" applyAlignment="1" applyProtection="1">
      <alignment horizontal="center" vertical="center"/>
      <protection hidden="1"/>
    </xf>
    <xf numFmtId="4" fontId="151" fillId="96" borderId="22" xfId="60" applyNumberFormat="1" applyFont="1" applyFill="1" applyBorder="1" applyAlignment="1" applyProtection="1">
      <alignment vertical="center"/>
      <protection hidden="1"/>
    </xf>
    <xf numFmtId="3" fontId="172" fillId="55" borderId="22" xfId="60" applyNumberFormat="1" applyFont="1" applyFill="1" applyBorder="1" applyAlignment="1" applyProtection="1">
      <alignment horizontal="right" vertical="center"/>
      <protection hidden="1"/>
    </xf>
    <xf numFmtId="3" fontId="172" fillId="55" borderId="29" xfId="60" applyNumberFormat="1" applyFont="1" applyFill="1" applyBorder="1" applyAlignment="1" applyProtection="1">
      <alignment horizontal="right" vertical="center"/>
      <protection hidden="1"/>
    </xf>
    <xf numFmtId="0" fontId="55" fillId="39" borderId="23" xfId="60" applyFont="1" applyFill="1" applyBorder="1" applyAlignment="1" applyProtection="1">
      <alignment horizontal="right" vertical="center"/>
      <protection hidden="1"/>
    </xf>
    <xf numFmtId="0" fontId="55" fillId="40" borderId="23" xfId="60" applyFont="1" applyFill="1" applyBorder="1" applyAlignment="1" applyProtection="1">
      <alignment horizontal="left" vertical="center"/>
      <protection hidden="1"/>
    </xf>
    <xf numFmtId="3" fontId="62" fillId="49" borderId="0" xfId="60" applyNumberFormat="1" applyFont="1" applyFill="1" applyAlignment="1" applyProtection="1">
      <alignment horizontal="center" vertical="center"/>
      <protection hidden="1"/>
    </xf>
    <xf numFmtId="0" fontId="62" fillId="39" borderId="0" xfId="60" applyFont="1" applyFill="1" applyBorder="1" applyAlignment="1" applyProtection="1">
      <alignment horizontal="center" vertical="center"/>
      <protection hidden="1"/>
    </xf>
    <xf numFmtId="0" fontId="64" fillId="39" borderId="0" xfId="60" applyFont="1" applyFill="1" applyBorder="1" applyAlignment="1" applyProtection="1">
      <alignment vertical="center"/>
      <protection hidden="1"/>
    </xf>
    <xf numFmtId="0" fontId="54" fillId="11" borderId="46" xfId="60" applyFont="1" applyFill="1" applyBorder="1" applyAlignment="1" applyProtection="1">
      <alignment horizontal="center" vertical="center" shrinkToFit="1"/>
      <protection hidden="1"/>
    </xf>
    <xf numFmtId="0" fontId="173" fillId="97" borderId="46" xfId="60" applyFont="1" applyFill="1" applyBorder="1" applyAlignment="1" applyProtection="1">
      <alignment horizontal="left" vertical="center" shrinkToFit="1"/>
      <protection hidden="1"/>
    </xf>
    <xf numFmtId="3" fontId="60" fillId="0" borderId="46" xfId="60" applyNumberFormat="1" applyFont="1" applyFill="1" applyBorder="1" applyAlignment="1" applyProtection="1">
      <alignment horizontal="right" vertical="center" shrinkToFit="1"/>
      <protection hidden="1"/>
    </xf>
    <xf numFmtId="3" fontId="174" fillId="98" borderId="46" xfId="60" applyNumberFormat="1" applyFont="1" applyFill="1" applyBorder="1" applyAlignment="1" applyProtection="1">
      <alignment horizontal="right" vertical="center" shrinkToFit="1"/>
      <protection hidden="1"/>
    </xf>
    <xf numFmtId="0" fontId="62" fillId="0" borderId="46" xfId="60" applyFont="1" applyFill="1" applyBorder="1" applyAlignment="1" applyProtection="1">
      <alignment horizontal="center" vertical="center" shrinkToFit="1"/>
      <protection hidden="1"/>
    </xf>
    <xf numFmtId="4" fontId="175" fillId="88" borderId="46" xfId="60" applyNumberFormat="1" applyFont="1" applyFill="1" applyBorder="1" applyAlignment="1" applyProtection="1">
      <alignment vertical="center"/>
      <protection hidden="1"/>
    </xf>
    <xf numFmtId="4" fontId="32" fillId="0" borderId="47" xfId="60" applyNumberFormat="1" applyFont="1" applyFill="1" applyBorder="1" applyAlignment="1" applyProtection="1">
      <alignment horizontal="right" vertical="center" shrinkToFit="1"/>
      <protection hidden="1"/>
    </xf>
    <xf numFmtId="4" fontId="32" fillId="0" borderId="48" xfId="60" applyNumberFormat="1" applyFont="1" applyFill="1" applyBorder="1" applyAlignment="1" applyProtection="1">
      <alignment horizontal="right" vertical="center" shrinkToFit="1"/>
      <protection hidden="1"/>
    </xf>
    <xf numFmtId="4" fontId="32" fillId="11" borderId="48" xfId="60" applyNumberFormat="1" applyFont="1" applyFill="1" applyBorder="1" applyAlignment="1" applyProtection="1">
      <alignment horizontal="right" vertical="center" shrinkToFit="1"/>
      <protection hidden="1"/>
    </xf>
    <xf numFmtId="4" fontId="32" fillId="0" borderId="49" xfId="60" applyNumberFormat="1" applyFont="1" applyFill="1" applyBorder="1" applyAlignment="1" applyProtection="1">
      <alignment horizontal="right" vertical="center" shrinkToFit="1"/>
      <protection hidden="1"/>
    </xf>
    <xf numFmtId="0" fontId="32" fillId="0" borderId="46" xfId="60" applyFont="1" applyFill="1" applyBorder="1" applyAlignment="1" applyProtection="1">
      <alignment horizontal="left" vertical="center" shrinkToFit="1"/>
      <protection locked="0"/>
    </xf>
    <xf numFmtId="3" fontId="60" fillId="99" borderId="46" xfId="60" applyNumberFormat="1" applyFont="1" applyFill="1" applyBorder="1" applyAlignment="1" applyProtection="1">
      <alignment horizontal="right" vertical="center" shrinkToFit="1"/>
      <protection hidden="1"/>
    </xf>
    <xf numFmtId="0" fontId="54" fillId="11" borderId="46" xfId="60" applyFont="1" applyFill="1" applyBorder="1" applyAlignment="1" applyProtection="1">
      <alignment vertical="center" shrinkToFit="1"/>
      <protection hidden="1"/>
    </xf>
    <xf numFmtId="0" fontId="54" fillId="0" borderId="46" xfId="60" applyFont="1" applyFill="1" applyBorder="1" applyAlignment="1" applyProtection="1">
      <alignment horizontal="center" vertical="center" shrinkToFit="1"/>
      <protection hidden="1"/>
    </xf>
    <xf numFmtId="0" fontId="54" fillId="11" borderId="46" xfId="60" applyFont="1" applyFill="1" applyBorder="1" applyAlignment="1" applyProtection="1">
      <alignment horizontal="right" vertical="center" shrinkToFit="1"/>
      <protection hidden="1"/>
    </xf>
    <xf numFmtId="0" fontId="54" fillId="97" borderId="46" xfId="60" applyFont="1" applyFill="1" applyBorder="1" applyAlignment="1" applyProtection="1">
      <alignment horizontal="center" vertical="center" shrinkToFit="1"/>
      <protection hidden="1"/>
    </xf>
    <xf numFmtId="0" fontId="62" fillId="0" borderId="46" xfId="60" applyFont="1" applyFill="1" applyBorder="1" applyAlignment="1" applyProtection="1">
      <alignment horizontal="center" vertical="center" shrinkToFit="1"/>
      <protection locked="0"/>
    </xf>
    <xf numFmtId="0" fontId="19" fillId="84" borderId="23" xfId="60" applyFont="1" applyFill="1" applyBorder="1" applyAlignment="1" applyProtection="1">
      <alignment horizontal="center" vertical="center" shrinkToFit="1"/>
      <protection locked="0"/>
    </xf>
    <xf numFmtId="4" fontId="0" fillId="40" borderId="0" xfId="60" applyNumberFormat="1" applyFont="1" applyFill="1" applyAlignment="1" applyProtection="1">
      <alignment vertical="center"/>
      <protection hidden="1"/>
    </xf>
    <xf numFmtId="49" fontId="51" fillId="0" borderId="0" xfId="0" applyNumberFormat="1" applyFont="1" applyBorder="1" applyAlignment="1" applyProtection="1">
      <alignment horizontal="left" vertical="center" wrapText="1"/>
      <protection hidden="1"/>
    </xf>
    <xf numFmtId="49" fontId="51" fillId="0" borderId="0" xfId="0" applyNumberFormat="1" applyFont="1" applyBorder="1" applyAlignment="1" applyProtection="1">
      <alignment horizontal="left" vertical="center"/>
      <protection hidden="1"/>
    </xf>
    <xf numFmtId="0" fontId="50" fillId="100" borderId="23" xfId="0" applyFont="1" applyFill="1" applyBorder="1" applyAlignment="1" applyProtection="1">
      <alignment horizontal="center" vertical="center"/>
      <protection hidden="1"/>
    </xf>
    <xf numFmtId="0" fontId="50" fillId="101" borderId="23" xfId="0" applyFont="1" applyFill="1" applyBorder="1" applyAlignment="1" applyProtection="1">
      <alignment horizontal="center" vertical="center"/>
      <protection hidden="1"/>
    </xf>
    <xf numFmtId="0" fontId="50" fillId="102" borderId="23" xfId="0" applyFont="1" applyFill="1" applyBorder="1" applyAlignment="1" applyProtection="1">
      <alignment horizontal="center" vertical="center" wrapText="1"/>
      <protection hidden="1"/>
    </xf>
    <xf numFmtId="0" fontId="176" fillId="0" borderId="0" xfId="0" applyFont="1" applyBorder="1" applyAlignment="1" applyProtection="1">
      <alignment horizontal="left"/>
      <protection hidden="1"/>
    </xf>
    <xf numFmtId="0" fontId="0" fillId="0" borderId="23" xfId="0" applyFont="1" applyFill="1" applyBorder="1" applyAlignment="1" applyProtection="1">
      <alignment horizontal="center"/>
      <protection hidden="1"/>
    </xf>
    <xf numFmtId="187" fontId="15" fillId="0" borderId="23" xfId="65" applyNumberFormat="1" applyFont="1" applyFill="1" applyBorder="1" applyAlignment="1" applyProtection="1">
      <alignment horizontal="center"/>
      <protection hidden="1"/>
    </xf>
    <xf numFmtId="187" fontId="0" fillId="0" borderId="23" xfId="65" applyNumberFormat="1" applyFont="1" applyFill="1" applyBorder="1" applyAlignment="1" applyProtection="1">
      <alignment horizontal="center"/>
      <protection hidden="1"/>
    </xf>
    <xf numFmtId="0" fontId="0" fillId="0" borderId="23" xfId="0" applyFont="1" applyFill="1" applyBorder="1" applyAlignment="1" applyProtection="1">
      <alignment horizontal="left"/>
      <protection hidden="1"/>
    </xf>
    <xf numFmtId="49" fontId="15" fillId="0" borderId="23" xfId="0" applyNumberFormat="1" applyFont="1" applyFill="1" applyBorder="1" applyAlignment="1" applyProtection="1">
      <alignment horizontal="left"/>
      <protection hidden="1"/>
    </xf>
    <xf numFmtId="0" fontId="0" fillId="0" borderId="23" xfId="0" applyFill="1" applyBorder="1" applyAlignment="1" applyProtection="1">
      <alignment horizontal="left"/>
      <protection hidden="1"/>
    </xf>
    <xf numFmtId="0" fontId="0" fillId="0" borderId="23" xfId="0" applyFill="1" applyBorder="1" applyAlignment="1" applyProtection="1">
      <alignment horizontal="center"/>
      <protection hidden="1"/>
    </xf>
    <xf numFmtId="49" fontId="15" fillId="0" borderId="23" xfId="0" applyNumberFormat="1" applyFont="1" applyFill="1" applyBorder="1" applyAlignment="1" applyProtection="1">
      <alignment/>
      <protection hidden="1"/>
    </xf>
    <xf numFmtId="0" fontId="62" fillId="0" borderId="46" xfId="60" applyFont="1" applyBorder="1" applyAlignment="1" applyProtection="1">
      <alignment horizontal="center" vertical="center" shrinkToFit="1"/>
      <protection locked="0"/>
    </xf>
    <xf numFmtId="0" fontId="54" fillId="97" borderId="46" xfId="60" applyFont="1" applyFill="1" applyBorder="1" applyAlignment="1" applyProtection="1">
      <alignment horizontal="center" vertical="center" shrinkToFit="1"/>
      <protection locked="0"/>
    </xf>
    <xf numFmtId="0" fontId="62" fillId="0" borderId="46" xfId="60" applyFont="1" applyFill="1" applyBorder="1" applyAlignment="1" applyProtection="1">
      <alignment horizontal="right" vertical="center" shrinkToFit="1"/>
      <protection locked="0"/>
    </xf>
    <xf numFmtId="181" fontId="62" fillId="0" borderId="46" xfId="60" applyNumberFormat="1" applyFont="1" applyFill="1" applyBorder="1" applyAlignment="1" applyProtection="1">
      <alignment horizontal="right" vertical="center" shrinkToFit="1"/>
      <protection locked="0"/>
    </xf>
    <xf numFmtId="0" fontId="54" fillId="11" borderId="46" xfId="60" applyFont="1" applyFill="1" applyBorder="1" applyAlignment="1" applyProtection="1">
      <alignment vertical="center" shrinkToFit="1"/>
      <protection locked="0"/>
    </xf>
    <xf numFmtId="0" fontId="54" fillId="0" borderId="46" xfId="60" applyFont="1" applyFill="1" applyBorder="1" applyAlignment="1" applyProtection="1">
      <alignment horizontal="center" vertical="center" shrinkToFit="1"/>
      <protection locked="0"/>
    </xf>
    <xf numFmtId="0" fontId="54" fillId="98" borderId="46" xfId="60" applyFont="1" applyFill="1" applyBorder="1" applyAlignment="1" applyProtection="1">
      <alignment horizontal="right" vertical="center" shrinkToFit="1"/>
      <protection locked="0"/>
    </xf>
    <xf numFmtId="4" fontId="15" fillId="40" borderId="0" xfId="60" applyNumberFormat="1" applyFont="1" applyFill="1" applyAlignment="1" applyProtection="1">
      <alignment vertical="center"/>
      <protection hidden="1"/>
    </xf>
    <xf numFmtId="4" fontId="0" fillId="39" borderId="0" xfId="60" applyNumberFormat="1" applyFont="1" applyFill="1" applyAlignment="1" applyProtection="1">
      <alignment horizontal="right" vertical="center"/>
      <protection hidden="1"/>
    </xf>
    <xf numFmtId="0" fontId="67" fillId="103" borderId="0" xfId="60" applyFont="1" applyFill="1" applyBorder="1" applyAlignment="1" applyProtection="1">
      <alignment horizontal="center" vertical="center" shrinkToFit="1"/>
      <protection hidden="1"/>
    </xf>
    <xf numFmtId="0" fontId="68" fillId="104" borderId="0" xfId="60" applyFont="1" applyFill="1" applyBorder="1" applyAlignment="1" applyProtection="1">
      <alignment horizontal="center" vertical="center" shrinkToFit="1"/>
      <protection hidden="1"/>
    </xf>
    <xf numFmtId="0" fontId="69" fillId="105" borderId="0" xfId="60" applyFont="1" applyFill="1" applyBorder="1" applyAlignment="1" applyProtection="1">
      <alignment horizontal="center" vertical="center" shrinkToFit="1"/>
      <protection hidden="1"/>
    </xf>
    <xf numFmtId="0" fontId="71" fillId="0" borderId="0" xfId="60" applyFont="1" applyFill="1" applyProtection="1">
      <alignment/>
      <protection hidden="1"/>
    </xf>
    <xf numFmtId="0" fontId="177" fillId="106" borderId="21" xfId="58" applyFont="1" applyFill="1" applyBorder="1" applyAlignment="1" applyProtection="1">
      <alignment horizontal="center" vertical="center" shrinkToFit="1"/>
      <protection hidden="1"/>
    </xf>
    <xf numFmtId="0" fontId="177" fillId="106" borderId="21" xfId="58" applyFont="1" applyFill="1" applyBorder="1" applyAlignment="1" applyProtection="1">
      <alignment horizontal="right" vertical="center" shrinkToFit="1"/>
      <protection hidden="1"/>
    </xf>
    <xf numFmtId="0" fontId="5" fillId="0" borderId="50" xfId="58" applyFont="1" applyFill="1" applyBorder="1" applyAlignment="1" applyProtection="1">
      <alignment vertical="center" wrapText="1"/>
      <protection hidden="1"/>
    </xf>
    <xf numFmtId="0" fontId="5" fillId="0" borderId="51" xfId="58" applyFont="1" applyFill="1" applyBorder="1" applyAlignment="1" applyProtection="1">
      <alignment vertical="center" wrapText="1"/>
      <protection hidden="1"/>
    </xf>
    <xf numFmtId="0" fontId="7" fillId="0" borderId="52" xfId="58" applyFont="1" applyFill="1" applyBorder="1" applyAlignment="1" applyProtection="1">
      <alignment vertical="center" wrapText="1"/>
      <protection hidden="1"/>
    </xf>
    <xf numFmtId="0" fontId="5" fillId="0" borderId="53" xfId="58" applyFont="1" applyFill="1" applyBorder="1" applyAlignment="1" applyProtection="1">
      <alignment vertical="center" wrapText="1"/>
      <protection hidden="1"/>
    </xf>
    <xf numFmtId="0" fontId="7" fillId="0" borderId="54" xfId="58" applyFont="1" applyFill="1" applyBorder="1" applyAlignment="1" applyProtection="1">
      <alignment vertical="center" wrapText="1"/>
      <protection hidden="1"/>
    </xf>
    <xf numFmtId="0" fontId="8" fillId="0" borderId="53" xfId="58" applyFont="1" applyFill="1" applyBorder="1" applyAlignment="1" applyProtection="1">
      <alignment horizontal="center" vertical="center" wrapText="1"/>
      <protection hidden="1"/>
    </xf>
    <xf numFmtId="0" fontId="53" fillId="0" borderId="53" xfId="58" applyFont="1" applyFill="1" applyBorder="1" applyAlignment="1" applyProtection="1">
      <alignment horizontal="center" vertical="center" wrapText="1"/>
      <protection hidden="1"/>
    </xf>
    <xf numFmtId="0" fontId="70" fillId="0" borderId="55" xfId="58" applyFont="1" applyFill="1" applyBorder="1" applyAlignment="1" applyProtection="1">
      <alignment horizontal="center" vertical="center" textRotation="90" wrapText="1"/>
      <protection hidden="1"/>
    </xf>
    <xf numFmtId="0" fontId="9" fillId="0" borderId="54" xfId="58" applyFont="1" applyFill="1" applyBorder="1" applyAlignment="1" applyProtection="1">
      <alignment horizontal="center" vertical="center" wrapText="1"/>
      <protection hidden="1"/>
    </xf>
    <xf numFmtId="0" fontId="9" fillId="0" borderId="55" xfId="58" applyFont="1" applyFill="1" applyBorder="1" applyAlignment="1" applyProtection="1">
      <alignment horizontal="center" vertical="center" textRotation="90" wrapText="1"/>
      <protection hidden="1"/>
    </xf>
    <xf numFmtId="0" fontId="5" fillId="0" borderId="51" xfId="58" applyFont="1" applyFill="1" applyBorder="1" applyAlignment="1" applyProtection="1">
      <alignment horizontal="right" vertical="center" wrapText="1"/>
      <protection hidden="1"/>
    </xf>
    <xf numFmtId="3" fontId="72" fillId="107" borderId="56" xfId="58" applyNumberFormat="1" applyFont="1" applyFill="1" applyBorder="1" applyAlignment="1" applyProtection="1">
      <alignment horizontal="right" vertical="center" wrapText="1" indent="1"/>
      <protection hidden="1"/>
    </xf>
    <xf numFmtId="173" fontId="72" fillId="107" borderId="56" xfId="58" applyNumberFormat="1" applyFont="1" applyFill="1" applyBorder="1" applyAlignment="1" applyProtection="1">
      <alignment horizontal="right" vertical="center" wrapText="1" indent="1"/>
      <protection hidden="1"/>
    </xf>
    <xf numFmtId="0" fontId="72" fillId="108" borderId="56" xfId="58" applyFont="1" applyFill="1" applyBorder="1" applyAlignment="1" applyProtection="1">
      <alignment horizontal="left" vertical="center" wrapText="1" indent="1"/>
      <protection hidden="1"/>
    </xf>
    <xf numFmtId="3" fontId="72" fillId="109" borderId="57" xfId="58" applyNumberFormat="1" applyFont="1" applyFill="1" applyBorder="1" applyAlignment="1" applyProtection="1">
      <alignment horizontal="right" vertical="center" wrapText="1" indent="1"/>
      <protection hidden="1"/>
    </xf>
    <xf numFmtId="173" fontId="72" fillId="109" borderId="57" xfId="58" applyNumberFormat="1" applyFont="1" applyFill="1" applyBorder="1" applyAlignment="1" applyProtection="1">
      <alignment horizontal="right" vertical="center" wrapText="1" indent="1"/>
      <protection hidden="1"/>
    </xf>
    <xf numFmtId="3" fontId="72" fillId="110" borderId="56" xfId="58" applyNumberFormat="1" applyFont="1" applyFill="1" applyBorder="1" applyAlignment="1" applyProtection="1">
      <alignment horizontal="right" vertical="center" wrapText="1" indent="1"/>
      <protection hidden="1"/>
    </xf>
    <xf numFmtId="173" fontId="72" fillId="110" borderId="56" xfId="58" applyNumberFormat="1" applyFont="1" applyFill="1" applyBorder="1" applyAlignment="1" applyProtection="1">
      <alignment horizontal="right" vertical="center" wrapText="1" indent="1"/>
      <protection hidden="1"/>
    </xf>
    <xf numFmtId="0" fontId="73" fillId="107" borderId="56" xfId="58" applyFont="1" applyFill="1" applyBorder="1" applyAlignment="1" applyProtection="1">
      <alignment horizontal="center" vertical="center" wrapText="1"/>
      <protection hidden="1"/>
    </xf>
    <xf numFmtId="172" fontId="73" fillId="107" borderId="56" xfId="58" applyNumberFormat="1" applyFont="1" applyFill="1" applyBorder="1" applyAlignment="1" applyProtection="1">
      <alignment horizontal="center" vertical="center" wrapText="1"/>
      <protection hidden="1"/>
    </xf>
    <xf numFmtId="174" fontId="73" fillId="107" borderId="56" xfId="58" applyNumberFormat="1" applyFont="1" applyFill="1" applyBorder="1" applyAlignment="1" applyProtection="1">
      <alignment horizontal="center" vertical="center" wrapText="1"/>
      <protection hidden="1"/>
    </xf>
    <xf numFmtId="0" fontId="73" fillId="108" borderId="56" xfId="58" applyFont="1" applyFill="1" applyBorder="1" applyAlignment="1" applyProtection="1">
      <alignment horizontal="center" vertical="center" wrapText="1"/>
      <protection hidden="1"/>
    </xf>
    <xf numFmtId="172" fontId="73" fillId="108" borderId="56" xfId="58" applyNumberFormat="1" applyFont="1" applyFill="1" applyBorder="1" applyAlignment="1" applyProtection="1">
      <alignment horizontal="center" vertical="center" wrapText="1"/>
      <protection hidden="1"/>
    </xf>
    <xf numFmtId="174" fontId="73" fillId="108" borderId="56" xfId="58" applyNumberFormat="1" applyFont="1" applyFill="1" applyBorder="1" applyAlignment="1" applyProtection="1">
      <alignment horizontal="center" vertical="center" wrapText="1"/>
      <protection hidden="1"/>
    </xf>
    <xf numFmtId="3" fontId="73" fillId="107" borderId="58" xfId="58" applyNumberFormat="1" applyFont="1" applyFill="1" applyBorder="1" applyAlignment="1" applyProtection="1">
      <alignment horizontal="center" vertical="center" wrapText="1"/>
      <protection hidden="1"/>
    </xf>
    <xf numFmtId="3" fontId="73" fillId="107" borderId="59" xfId="58" applyNumberFormat="1" applyFont="1" applyFill="1" applyBorder="1" applyAlignment="1" applyProtection="1">
      <alignment horizontal="center" vertical="center" wrapText="1"/>
      <protection hidden="1"/>
    </xf>
    <xf numFmtId="0" fontId="73" fillId="108" borderId="56" xfId="58" applyFont="1" applyFill="1" applyBorder="1" applyAlignment="1" applyProtection="1">
      <alignment horizontal="left" vertical="center" wrapText="1" indent="1"/>
      <protection hidden="1"/>
    </xf>
    <xf numFmtId="0" fontId="72" fillId="109" borderId="56" xfId="58" applyFont="1" applyFill="1" applyBorder="1" applyAlignment="1" applyProtection="1">
      <alignment horizontal="left" vertical="center" wrapText="1" indent="1"/>
      <protection hidden="1"/>
    </xf>
    <xf numFmtId="3" fontId="72" fillId="109" borderId="56" xfId="58" applyNumberFormat="1" applyFont="1" applyFill="1" applyBorder="1" applyAlignment="1" applyProtection="1">
      <alignment horizontal="right" vertical="center" wrapText="1" indent="1"/>
      <protection hidden="1"/>
    </xf>
    <xf numFmtId="173" fontId="72" fillId="109" borderId="56" xfId="58" applyNumberFormat="1" applyFont="1" applyFill="1" applyBorder="1" applyAlignment="1" applyProtection="1">
      <alignment horizontal="right" vertical="center" wrapText="1" indent="1"/>
      <protection hidden="1"/>
    </xf>
    <xf numFmtId="0" fontId="72" fillId="111" borderId="56" xfId="58" applyFont="1" applyFill="1" applyBorder="1" applyAlignment="1" applyProtection="1">
      <alignment horizontal="left" vertical="center" wrapText="1" indent="1"/>
      <protection hidden="1"/>
    </xf>
    <xf numFmtId="0" fontId="72" fillId="110" borderId="56" xfId="58" applyFont="1" applyFill="1" applyBorder="1" applyAlignment="1" applyProtection="1">
      <alignment horizontal="left" vertical="center" wrapText="1" indent="1"/>
      <protection hidden="1"/>
    </xf>
    <xf numFmtId="0" fontId="73" fillId="109" borderId="56" xfId="58" applyFont="1" applyFill="1" applyBorder="1" applyAlignment="1" applyProtection="1">
      <alignment horizontal="left" vertical="center" wrapText="1" indent="1"/>
      <protection hidden="1"/>
    </xf>
    <xf numFmtId="0" fontId="73" fillId="109" borderId="56" xfId="58" applyFont="1" applyFill="1" applyBorder="1" applyAlignment="1" applyProtection="1">
      <alignment horizontal="center" vertical="center" wrapText="1"/>
      <protection hidden="1"/>
    </xf>
    <xf numFmtId="172" fontId="73" fillId="109" borderId="56" xfId="58" applyNumberFormat="1" applyFont="1" applyFill="1" applyBorder="1" applyAlignment="1" applyProtection="1">
      <alignment horizontal="center" vertical="center" wrapText="1"/>
      <protection hidden="1"/>
    </xf>
    <xf numFmtId="3" fontId="73" fillId="109" borderId="56" xfId="58" applyNumberFormat="1" applyFont="1" applyFill="1" applyBorder="1" applyAlignment="1" applyProtection="1">
      <alignment horizontal="right" vertical="center" wrapText="1" indent="3"/>
      <protection hidden="1"/>
    </xf>
    <xf numFmtId="174" fontId="73" fillId="109" borderId="56" xfId="58" applyNumberFormat="1" applyFont="1" applyFill="1" applyBorder="1" applyAlignment="1" applyProtection="1">
      <alignment horizontal="center" vertical="center" wrapText="1"/>
      <protection hidden="1"/>
    </xf>
    <xf numFmtId="0" fontId="73" fillId="111" borderId="56" xfId="58" applyFont="1" applyFill="1" applyBorder="1" applyAlignment="1" applyProtection="1">
      <alignment horizontal="left" vertical="center" wrapText="1" indent="1"/>
      <protection hidden="1"/>
    </xf>
    <xf numFmtId="0" fontId="73" fillId="111" borderId="56" xfId="58" applyFont="1" applyFill="1" applyBorder="1" applyAlignment="1" applyProtection="1">
      <alignment horizontal="center" vertical="center" wrapText="1"/>
      <protection hidden="1"/>
    </xf>
    <xf numFmtId="172" fontId="73" fillId="111" borderId="56" xfId="58" applyNumberFormat="1" applyFont="1" applyFill="1" applyBorder="1" applyAlignment="1" applyProtection="1">
      <alignment horizontal="center" vertical="center" wrapText="1"/>
      <protection hidden="1"/>
    </xf>
    <xf numFmtId="3" fontId="73" fillId="111" borderId="56" xfId="58" applyNumberFormat="1" applyFont="1" applyFill="1" applyBorder="1" applyAlignment="1" applyProtection="1">
      <alignment horizontal="right" vertical="center" wrapText="1" indent="3"/>
      <protection hidden="1"/>
    </xf>
    <xf numFmtId="174" fontId="73" fillId="111" borderId="56" xfId="58" applyNumberFormat="1" applyFont="1" applyFill="1" applyBorder="1" applyAlignment="1" applyProtection="1">
      <alignment horizontal="center" vertical="center" wrapText="1"/>
      <protection hidden="1"/>
    </xf>
    <xf numFmtId="0" fontId="73" fillId="110" borderId="56" xfId="58" applyFont="1" applyFill="1" applyBorder="1" applyAlignment="1" applyProtection="1">
      <alignment horizontal="left" vertical="center" wrapText="1" indent="1"/>
      <protection hidden="1"/>
    </xf>
    <xf numFmtId="0" fontId="73" fillId="110" borderId="56" xfId="58" applyFont="1" applyFill="1" applyBorder="1" applyAlignment="1" applyProtection="1">
      <alignment horizontal="center" vertical="center" wrapText="1"/>
      <protection hidden="1"/>
    </xf>
    <xf numFmtId="172" fontId="73" fillId="110" borderId="56" xfId="58" applyNumberFormat="1" applyFont="1" applyFill="1" applyBorder="1" applyAlignment="1" applyProtection="1">
      <alignment horizontal="center" vertical="center" wrapText="1"/>
      <protection hidden="1"/>
    </xf>
    <xf numFmtId="3" fontId="73" fillId="110" borderId="56" xfId="58" applyNumberFormat="1" applyFont="1" applyFill="1" applyBorder="1" applyAlignment="1" applyProtection="1">
      <alignment horizontal="right" vertical="center" wrapText="1" indent="3"/>
      <protection hidden="1"/>
    </xf>
    <xf numFmtId="174" fontId="73" fillId="110" borderId="56" xfId="58" applyNumberFormat="1" applyFont="1" applyFill="1" applyBorder="1" applyAlignment="1" applyProtection="1">
      <alignment horizontal="center" vertical="center" wrapText="1"/>
      <protection hidden="1"/>
    </xf>
    <xf numFmtId="0" fontId="1" fillId="95" borderId="0" xfId="60" applyFill="1" applyProtection="1">
      <alignment/>
      <protection hidden="1"/>
    </xf>
    <xf numFmtId="0" fontId="5" fillId="95" borderId="0" xfId="58" applyFont="1" applyFill="1" applyAlignment="1" applyProtection="1">
      <alignment vertical="center" wrapText="1"/>
      <protection hidden="1"/>
    </xf>
    <xf numFmtId="0" fontId="5" fillId="95" borderId="0" xfId="58" applyFont="1" applyFill="1" applyAlignment="1" applyProtection="1">
      <alignment horizontal="left" vertical="center" wrapText="1"/>
      <protection hidden="1"/>
    </xf>
    <xf numFmtId="0" fontId="6" fillId="95" borderId="0" xfId="58" applyFont="1" applyFill="1" applyAlignment="1" applyProtection="1">
      <alignment vertical="center" wrapText="1"/>
      <protection hidden="1"/>
    </xf>
    <xf numFmtId="0" fontId="7" fillId="95" borderId="0" xfId="58" applyFont="1" applyFill="1" applyAlignment="1" applyProtection="1">
      <alignment vertical="center" wrapText="1"/>
      <protection hidden="1"/>
    </xf>
    <xf numFmtId="0" fontId="5" fillId="95" borderId="0" xfId="58" applyFont="1" applyFill="1" applyAlignment="1" applyProtection="1">
      <alignment horizontal="right" vertical="center" wrapText="1"/>
      <protection hidden="1"/>
    </xf>
    <xf numFmtId="0" fontId="71" fillId="95" borderId="0" xfId="60" applyFont="1" applyFill="1" applyProtection="1">
      <alignment/>
      <protection hidden="1"/>
    </xf>
    <xf numFmtId="0" fontId="62" fillId="0" borderId="46" xfId="60" applyFont="1" applyFill="1" applyBorder="1" applyAlignment="1" applyProtection="1">
      <alignment horizontal="center" vertical="center" shrinkToFit="1"/>
      <protection locked="0"/>
    </xf>
    <xf numFmtId="0" fontId="19" fillId="84" borderId="23" xfId="60" applyFont="1" applyFill="1" applyBorder="1" applyAlignment="1" applyProtection="1">
      <alignment horizontal="center" vertical="center" shrinkToFit="1"/>
      <protection locked="0"/>
    </xf>
    <xf numFmtId="0" fontId="54" fillId="97" borderId="46" xfId="60" applyFont="1" applyFill="1" applyBorder="1" applyAlignment="1" applyProtection="1">
      <alignment horizontal="center" vertical="center" shrinkToFit="1"/>
      <protection hidden="1"/>
    </xf>
    <xf numFmtId="0" fontId="62" fillId="0" borderId="46" xfId="60" applyFont="1" applyBorder="1" applyAlignment="1" applyProtection="1">
      <alignment horizontal="center" vertical="center" shrinkToFit="1"/>
      <protection locked="0"/>
    </xf>
    <xf numFmtId="0" fontId="178" fillId="56" borderId="23" xfId="58" applyFont="1" applyFill="1" applyBorder="1" applyAlignment="1" applyProtection="1">
      <alignment horizontal="center" vertical="center" wrapText="1"/>
      <protection hidden="1"/>
    </xf>
    <xf numFmtId="0" fontId="128" fillId="86" borderId="23" xfId="60" applyFont="1" applyFill="1" applyBorder="1" applyAlignment="1" applyProtection="1">
      <alignment horizontal="center" vertical="center"/>
      <protection hidden="1"/>
    </xf>
    <xf numFmtId="172" fontId="73" fillId="112" borderId="23" xfId="58" applyNumberFormat="1" applyFont="1" applyFill="1" applyBorder="1" applyAlignment="1" applyProtection="1">
      <alignment horizontal="center" vertical="center" wrapText="1"/>
      <protection hidden="1"/>
    </xf>
    <xf numFmtId="174" fontId="8" fillId="112" borderId="23" xfId="58" applyNumberFormat="1" applyFont="1" applyFill="1" applyBorder="1" applyAlignment="1" applyProtection="1">
      <alignment horizontal="center" vertical="center" wrapText="1"/>
      <protection hidden="1"/>
    </xf>
    <xf numFmtId="3" fontId="8" fillId="112" borderId="23" xfId="58" applyNumberFormat="1" applyFont="1" applyFill="1" applyBorder="1" applyAlignment="1" applyProtection="1">
      <alignment horizontal="center" vertical="center" wrapText="1"/>
      <protection hidden="1"/>
    </xf>
    <xf numFmtId="0" fontId="8" fillId="112" borderId="23" xfId="58" applyFont="1" applyFill="1" applyBorder="1" applyAlignment="1" applyProtection="1">
      <alignment horizontal="left" vertical="center" wrapText="1"/>
      <protection hidden="1"/>
    </xf>
    <xf numFmtId="0" fontId="58" fillId="39" borderId="0" xfId="60" applyFont="1" applyFill="1" applyBorder="1" applyAlignment="1" applyProtection="1">
      <alignment vertical="center"/>
      <protection hidden="1"/>
    </xf>
    <xf numFmtId="4" fontId="21" fillId="46" borderId="23" xfId="60" applyNumberFormat="1" applyFont="1" applyFill="1" applyBorder="1" applyAlignment="1" applyProtection="1">
      <alignment horizontal="center" vertical="center"/>
      <protection hidden="1"/>
    </xf>
    <xf numFmtId="0" fontId="173" fillId="97" borderId="23" xfId="60" applyFont="1" applyFill="1" applyBorder="1" applyAlignment="1" applyProtection="1">
      <alignment horizontal="left" vertical="center" shrinkToFit="1"/>
      <protection hidden="1"/>
    </xf>
    <xf numFmtId="3" fontId="60" fillId="0" borderId="23" xfId="60" applyNumberFormat="1" applyFont="1" applyFill="1" applyBorder="1" applyAlignment="1" applyProtection="1">
      <alignment horizontal="right" vertical="center" shrinkToFit="1"/>
      <protection hidden="1"/>
    </xf>
    <xf numFmtId="0" fontId="57" fillId="39" borderId="0" xfId="60" applyFont="1" applyFill="1" applyBorder="1" applyAlignment="1" applyProtection="1">
      <alignment horizontal="center" vertical="center"/>
      <protection hidden="1"/>
    </xf>
    <xf numFmtId="0" fontId="32" fillId="0" borderId="60" xfId="60" applyFont="1" applyFill="1" applyBorder="1" applyAlignment="1" applyProtection="1">
      <alignment horizontal="left" vertical="center" shrinkToFit="1"/>
      <protection locked="0"/>
    </xf>
    <xf numFmtId="0" fontId="62" fillId="0" borderId="60" xfId="60" applyFont="1" applyFill="1" applyBorder="1" applyAlignment="1" applyProtection="1">
      <alignment horizontal="center" vertical="center" shrinkToFit="1"/>
      <protection locked="0"/>
    </xf>
    <xf numFmtId="0" fontId="62" fillId="0" borderId="60" xfId="60" applyFont="1" applyFill="1" applyBorder="1" applyAlignment="1" applyProtection="1">
      <alignment horizontal="center" vertical="center" shrinkToFit="1"/>
      <protection hidden="1"/>
    </xf>
    <xf numFmtId="0" fontId="62" fillId="0" borderId="60" xfId="60" applyFont="1" applyFill="1" applyBorder="1" applyAlignment="1" applyProtection="1">
      <alignment horizontal="right" vertical="center" shrinkToFit="1"/>
      <protection locked="0"/>
    </xf>
    <xf numFmtId="181" fontId="62" fillId="0" borderId="60" xfId="60" applyNumberFormat="1" applyFont="1" applyFill="1" applyBorder="1" applyAlignment="1" applyProtection="1">
      <alignment horizontal="right" vertical="center" shrinkToFit="1"/>
      <protection locked="0"/>
    </xf>
    <xf numFmtId="0" fontId="173" fillId="97" borderId="60" xfId="60" applyFont="1" applyFill="1" applyBorder="1" applyAlignment="1" applyProtection="1">
      <alignment horizontal="left" vertical="center" shrinkToFit="1"/>
      <protection hidden="1"/>
    </xf>
    <xf numFmtId="3" fontId="60" fillId="99" borderId="60" xfId="60" applyNumberFormat="1" applyFont="1" applyFill="1" applyBorder="1" applyAlignment="1" applyProtection="1">
      <alignment horizontal="right" vertical="center" shrinkToFit="1"/>
      <protection hidden="1"/>
    </xf>
    <xf numFmtId="3" fontId="60" fillId="0" borderId="60" xfId="60" applyNumberFormat="1" applyFont="1" applyFill="1" applyBorder="1" applyAlignment="1" applyProtection="1">
      <alignment horizontal="right" vertical="center" shrinkToFit="1"/>
      <protection hidden="1"/>
    </xf>
    <xf numFmtId="3" fontId="60" fillId="0" borderId="61" xfId="60" applyNumberFormat="1" applyFont="1" applyFill="1" applyBorder="1" applyAlignment="1" applyProtection="1">
      <alignment horizontal="right" vertical="center" shrinkToFit="1"/>
      <protection hidden="1"/>
    </xf>
    <xf numFmtId="3" fontId="60" fillId="0" borderId="62" xfId="60" applyNumberFormat="1" applyFont="1" applyFill="1" applyBorder="1" applyAlignment="1" applyProtection="1">
      <alignment horizontal="right" vertical="center" shrinkToFit="1"/>
      <protection hidden="1"/>
    </xf>
    <xf numFmtId="0" fontId="0" fillId="44" borderId="63" xfId="0" applyFill="1" applyBorder="1" applyAlignment="1" applyProtection="1">
      <alignment vertical="center"/>
      <protection hidden="1"/>
    </xf>
    <xf numFmtId="0" fontId="62" fillId="0" borderId="46" xfId="60" applyFont="1" applyFill="1" applyBorder="1" applyAlignment="1" applyProtection="1">
      <alignment horizontal="center" vertical="center" shrinkToFit="1"/>
      <protection locked="0"/>
    </xf>
    <xf numFmtId="0" fontId="179" fillId="113" borderId="60" xfId="60" applyFont="1" applyFill="1" applyBorder="1" applyAlignment="1" applyProtection="1">
      <alignment horizontal="center" vertical="center" shrinkToFit="1"/>
      <protection hidden="1"/>
    </xf>
    <xf numFmtId="174" fontId="144" fillId="57" borderId="0" xfId="60" applyNumberFormat="1" applyFont="1" applyFill="1" applyBorder="1" applyAlignment="1" applyProtection="1">
      <alignment vertical="center"/>
      <protection hidden="1"/>
    </xf>
    <xf numFmtId="4" fontId="128" fillId="114" borderId="0" xfId="60" applyNumberFormat="1" applyFont="1" applyFill="1" applyBorder="1" applyAlignment="1" applyProtection="1">
      <alignment vertical="center"/>
      <protection hidden="1"/>
    </xf>
    <xf numFmtId="0" fontId="19" fillId="83" borderId="23" xfId="60" applyFont="1" applyFill="1" applyBorder="1" applyAlignment="1" applyProtection="1">
      <alignment horizontal="center" vertical="center" shrinkToFit="1"/>
      <protection hidden="1"/>
    </xf>
    <xf numFmtId="0" fontId="19" fillId="6" borderId="23" xfId="60" applyFont="1" applyFill="1" applyBorder="1" applyAlignment="1" applyProtection="1">
      <alignment horizontal="center" vertical="center" shrinkToFit="1"/>
      <protection hidden="1"/>
    </xf>
    <xf numFmtId="0" fontId="19" fillId="6" borderId="23" xfId="60" applyFont="1" applyFill="1" applyBorder="1" applyAlignment="1" applyProtection="1">
      <alignment horizontal="center" vertical="center" shrinkToFit="1"/>
      <protection hidden="1"/>
    </xf>
    <xf numFmtId="0" fontId="144" fillId="57" borderId="0" xfId="60" applyFont="1" applyFill="1" applyBorder="1" applyAlignment="1" applyProtection="1">
      <alignment vertical="center"/>
      <protection hidden="1"/>
    </xf>
    <xf numFmtId="0" fontId="149" fillId="42" borderId="20" xfId="60" applyFont="1" applyFill="1" applyBorder="1" applyAlignment="1" applyProtection="1">
      <alignment horizontal="center" vertical="center"/>
      <protection hidden="1"/>
    </xf>
    <xf numFmtId="0" fontId="150" fillId="52" borderId="22" xfId="60" applyFont="1" applyFill="1" applyBorder="1" applyAlignment="1" applyProtection="1">
      <alignment horizontal="center" vertical="center"/>
      <protection hidden="1"/>
    </xf>
    <xf numFmtId="3" fontId="60" fillId="0" borderId="23" xfId="60" applyNumberFormat="1" applyFont="1" applyFill="1" applyBorder="1" applyAlignment="1" applyProtection="1">
      <alignment horizontal="center" vertical="center" shrinkToFit="1"/>
      <protection hidden="1"/>
    </xf>
    <xf numFmtId="4" fontId="128" fillId="87" borderId="0" xfId="60" applyNumberFormat="1" applyFont="1" applyFill="1" applyBorder="1" applyAlignment="1" applyProtection="1">
      <alignment vertical="center"/>
      <protection hidden="1"/>
    </xf>
    <xf numFmtId="0" fontId="19" fillId="83" borderId="23" xfId="60" applyFont="1" applyFill="1" applyBorder="1" applyAlignment="1" applyProtection="1">
      <alignment horizontal="center" vertical="center" shrinkToFit="1"/>
      <protection hidden="1"/>
    </xf>
    <xf numFmtId="4" fontId="1" fillId="0" borderId="0" xfId="60" applyNumberFormat="1" applyAlignment="1" applyProtection="1">
      <alignment vertical="center"/>
      <protection hidden="1"/>
    </xf>
    <xf numFmtId="3" fontId="60" fillId="99" borderId="23" xfId="60" applyNumberFormat="1" applyFont="1" applyFill="1" applyBorder="1" applyAlignment="1" applyProtection="1">
      <alignment horizontal="right" vertical="center" shrinkToFit="1"/>
      <protection hidden="1"/>
    </xf>
    <xf numFmtId="0" fontId="14" fillId="39" borderId="64" xfId="60" applyFont="1" applyFill="1" applyBorder="1" applyAlignment="1" applyProtection="1">
      <alignment vertical="center"/>
      <protection hidden="1"/>
    </xf>
    <xf numFmtId="0" fontId="160" fillId="115" borderId="0" xfId="60" applyNumberFormat="1" applyFont="1" applyFill="1" applyBorder="1" applyAlignment="1" applyProtection="1">
      <alignment horizontal="left" vertical="top" wrapText="1"/>
      <protection hidden="1"/>
    </xf>
    <xf numFmtId="4" fontId="144" fillId="39" borderId="0" xfId="60" applyNumberFormat="1" applyFont="1" applyFill="1" applyBorder="1" applyAlignment="1" applyProtection="1">
      <alignment vertical="center"/>
      <protection hidden="1"/>
    </xf>
    <xf numFmtId="0" fontId="147" fillId="41" borderId="0" xfId="60" applyFont="1" applyFill="1" applyBorder="1" applyAlignment="1" applyProtection="1">
      <alignment vertical="center"/>
      <protection hidden="1"/>
    </xf>
    <xf numFmtId="0" fontId="19" fillId="84" borderId="23" xfId="60" applyFont="1" applyFill="1" applyBorder="1" applyAlignment="1" applyProtection="1">
      <alignment horizontal="center" vertical="center" shrinkToFit="1"/>
      <protection locked="0"/>
    </xf>
    <xf numFmtId="4" fontId="172" fillId="116" borderId="0" xfId="60" applyNumberFormat="1" applyFont="1" applyFill="1" applyAlignment="1" applyProtection="1">
      <alignment horizontal="right" vertical="center"/>
      <protection hidden="1"/>
    </xf>
    <xf numFmtId="0" fontId="26" fillId="94" borderId="0" xfId="60" applyFont="1" applyFill="1" applyBorder="1" applyAlignment="1" applyProtection="1">
      <alignment vertical="center"/>
      <protection hidden="1"/>
    </xf>
    <xf numFmtId="4" fontId="26" fillId="94" borderId="0" xfId="60" applyNumberFormat="1" applyFont="1" applyFill="1" applyAlignment="1" applyProtection="1">
      <alignment vertical="center"/>
      <protection hidden="1"/>
    </xf>
    <xf numFmtId="0" fontId="26" fillId="94" borderId="0" xfId="60" applyFont="1" applyFill="1" applyAlignment="1" applyProtection="1">
      <alignment vertical="center"/>
      <protection hidden="1"/>
    </xf>
    <xf numFmtId="0" fontId="26" fillId="86" borderId="0" xfId="60" applyFont="1" applyFill="1" applyBorder="1" applyAlignment="1" applyProtection="1">
      <alignment vertical="center"/>
      <protection hidden="1"/>
    </xf>
    <xf numFmtId="4" fontId="26" fillId="86" borderId="0" xfId="60" applyNumberFormat="1" applyFont="1" applyFill="1" applyAlignment="1" applyProtection="1">
      <alignment vertical="center"/>
      <protection hidden="1"/>
    </xf>
    <xf numFmtId="0" fontId="26" fillId="86" borderId="0" xfId="60" applyFont="1" applyFill="1" applyAlignment="1" applyProtection="1">
      <alignment vertical="center"/>
      <protection hidden="1"/>
    </xf>
    <xf numFmtId="0" fontId="26" fillId="87" borderId="0" xfId="60" applyFont="1" applyFill="1" applyBorder="1" applyAlignment="1" applyProtection="1">
      <alignment vertical="center"/>
      <protection hidden="1"/>
    </xf>
    <xf numFmtId="0" fontId="2" fillId="0" borderId="65" xfId="60" applyFont="1" applyBorder="1" applyAlignment="1" applyProtection="1">
      <alignment horizontal="center" vertical="center"/>
      <protection hidden="1"/>
    </xf>
    <xf numFmtId="0" fontId="2" fillId="0" borderId="66" xfId="60" applyFont="1" applyBorder="1" applyAlignment="1" applyProtection="1">
      <alignment horizontal="center" vertical="center"/>
      <protection hidden="1"/>
    </xf>
    <xf numFmtId="0" fontId="2" fillId="0" borderId="67" xfId="60" applyFont="1" applyBorder="1" applyAlignment="1" applyProtection="1">
      <alignment horizontal="center" vertical="center"/>
      <protection hidden="1"/>
    </xf>
    <xf numFmtId="0" fontId="3" fillId="0" borderId="0" xfId="60" applyFont="1" applyFill="1" applyBorder="1" applyAlignment="1" applyProtection="1">
      <alignment horizontal="center" vertical="center"/>
      <protection hidden="1"/>
    </xf>
    <xf numFmtId="0" fontId="66" fillId="117" borderId="0" xfId="60" applyFont="1" applyFill="1" applyBorder="1" applyAlignment="1" applyProtection="1">
      <alignment horizontal="center" vertical="center" shrinkToFit="1"/>
      <protection hidden="1"/>
    </xf>
    <xf numFmtId="0" fontId="180" fillId="94" borderId="53" xfId="58" applyFont="1" applyFill="1" applyBorder="1" applyAlignment="1" applyProtection="1">
      <alignment horizontal="center" vertical="center" shrinkToFit="1"/>
      <protection hidden="1"/>
    </xf>
    <xf numFmtId="0" fontId="180" fillId="94" borderId="0" xfId="58" applyFont="1" applyFill="1" applyBorder="1" applyAlignment="1" applyProtection="1">
      <alignment horizontal="center" vertical="center" shrinkToFit="1"/>
      <protection hidden="1"/>
    </xf>
    <xf numFmtId="0" fontId="180" fillId="94" borderId="54" xfId="58" applyFont="1" applyFill="1" applyBorder="1" applyAlignment="1" applyProtection="1">
      <alignment horizontal="center" vertical="center" shrinkToFit="1"/>
      <protection hidden="1"/>
    </xf>
    <xf numFmtId="0" fontId="75" fillId="0" borderId="0" xfId="60" applyFont="1" applyFill="1" applyBorder="1" applyAlignment="1" applyProtection="1">
      <alignment horizontal="center" vertical="center" shrinkToFit="1"/>
      <protection hidden="1"/>
    </xf>
    <xf numFmtId="0" fontId="181" fillId="0" borderId="0" xfId="60" applyFont="1" applyFill="1" applyBorder="1" applyAlignment="1" applyProtection="1">
      <alignment horizontal="center" vertical="center" shrinkToFit="1"/>
      <protection hidden="1"/>
    </xf>
    <xf numFmtId="0" fontId="74" fillId="0" borderId="0" xfId="60" applyFont="1" applyFill="1" applyBorder="1" applyAlignment="1" applyProtection="1">
      <alignment horizontal="center" vertical="top" shrinkToFit="1"/>
      <protection hidden="1"/>
    </xf>
    <xf numFmtId="0" fontId="177" fillId="106" borderId="68" xfId="58" applyFont="1" applyFill="1" applyBorder="1" applyAlignment="1" applyProtection="1">
      <alignment horizontal="left" vertical="center" shrinkToFit="1"/>
      <protection hidden="1"/>
    </xf>
    <xf numFmtId="0" fontId="177" fillId="106" borderId="69" xfId="58" applyFont="1" applyFill="1" applyBorder="1" applyAlignment="1" applyProtection="1">
      <alignment horizontal="left" vertical="center" shrinkToFit="1"/>
      <protection hidden="1"/>
    </xf>
    <xf numFmtId="0" fontId="177" fillId="106" borderId="45" xfId="58" applyFont="1" applyFill="1" applyBorder="1" applyAlignment="1" applyProtection="1">
      <alignment horizontal="left" vertical="center" shrinkToFit="1"/>
      <protection hidden="1"/>
    </xf>
    <xf numFmtId="0" fontId="177" fillId="106" borderId="68" xfId="58" applyFont="1" applyFill="1" applyBorder="1" applyAlignment="1" applyProtection="1">
      <alignment horizontal="right" vertical="center" shrinkToFit="1"/>
      <protection hidden="1"/>
    </xf>
    <xf numFmtId="0" fontId="177" fillId="106" borderId="69" xfId="58" applyFont="1" applyFill="1" applyBorder="1" applyAlignment="1" applyProtection="1">
      <alignment horizontal="right" vertical="center" shrinkToFit="1"/>
      <protection hidden="1"/>
    </xf>
    <xf numFmtId="0" fontId="177" fillId="106" borderId="45" xfId="58" applyFont="1" applyFill="1" applyBorder="1" applyAlignment="1" applyProtection="1">
      <alignment horizontal="right" vertical="center" shrinkToFit="1"/>
      <protection hidden="1"/>
    </xf>
    <xf numFmtId="0" fontId="10" fillId="56" borderId="20" xfId="58" applyFont="1" applyFill="1" applyBorder="1" applyAlignment="1" applyProtection="1">
      <alignment horizontal="center" vertical="center" textRotation="90" wrapText="1"/>
      <protection hidden="1"/>
    </xf>
    <xf numFmtId="0" fontId="10" fillId="56" borderId="22" xfId="58" applyFont="1" applyFill="1" applyBorder="1" applyAlignment="1" applyProtection="1">
      <alignment horizontal="center" vertical="center" textRotation="90" wrapText="1"/>
      <protection hidden="1"/>
    </xf>
    <xf numFmtId="0" fontId="10" fillId="56" borderId="29" xfId="58" applyFont="1" applyFill="1" applyBorder="1" applyAlignment="1" applyProtection="1">
      <alignment horizontal="center" vertical="center" textRotation="90" wrapText="1"/>
      <protection hidden="1"/>
    </xf>
    <xf numFmtId="0" fontId="73" fillId="107" borderId="56" xfId="58" applyFont="1" applyFill="1" applyBorder="1" applyAlignment="1" applyProtection="1">
      <alignment horizontal="left" vertical="center" wrapText="1" indent="1"/>
      <protection hidden="1"/>
    </xf>
    <xf numFmtId="3" fontId="73" fillId="107" borderId="56" xfId="58" applyNumberFormat="1" applyFont="1" applyFill="1" applyBorder="1" applyAlignment="1" applyProtection="1">
      <alignment horizontal="right" vertical="center" wrapText="1" indent="3"/>
      <protection hidden="1"/>
    </xf>
    <xf numFmtId="0" fontId="10" fillId="56" borderId="21" xfId="58" applyFont="1" applyFill="1" applyBorder="1" applyAlignment="1" applyProtection="1">
      <alignment vertical="center" textRotation="180" wrapText="1"/>
      <protection hidden="1"/>
    </xf>
    <xf numFmtId="0" fontId="9" fillId="0" borderId="55" xfId="58" applyFont="1" applyFill="1" applyBorder="1" applyAlignment="1" applyProtection="1">
      <alignment horizontal="center" vertical="center" textRotation="90" wrapText="1"/>
      <protection hidden="1"/>
    </xf>
    <xf numFmtId="0" fontId="10" fillId="56" borderId="21" xfId="58" applyFont="1" applyFill="1" applyBorder="1" applyAlignment="1" applyProtection="1">
      <alignment horizontal="center" vertical="center" textRotation="90" wrapText="1"/>
      <protection hidden="1"/>
    </xf>
    <xf numFmtId="0" fontId="72" fillId="107" borderId="56" xfId="58" applyFont="1" applyFill="1" applyBorder="1" applyAlignment="1" applyProtection="1">
      <alignment horizontal="left" vertical="center" wrapText="1" indent="1"/>
      <protection hidden="1"/>
    </xf>
    <xf numFmtId="3" fontId="72" fillId="107" borderId="56" xfId="58" applyNumberFormat="1" applyFont="1" applyFill="1" applyBorder="1" applyAlignment="1" applyProtection="1">
      <alignment horizontal="right" vertical="center" wrapText="1" indent="1"/>
      <protection hidden="1"/>
    </xf>
    <xf numFmtId="173" fontId="72" fillId="107" borderId="56" xfId="58" applyNumberFormat="1" applyFont="1" applyFill="1" applyBorder="1" applyAlignment="1" applyProtection="1">
      <alignment horizontal="right" vertical="center" wrapText="1" indent="1"/>
      <protection hidden="1"/>
    </xf>
    <xf numFmtId="0" fontId="10" fillId="118" borderId="21" xfId="58" applyFont="1" applyFill="1" applyBorder="1" applyAlignment="1" applyProtection="1">
      <alignment horizontal="center" vertical="center" textRotation="90" wrapText="1"/>
      <protection hidden="1"/>
    </xf>
    <xf numFmtId="0" fontId="73" fillId="108" borderId="56" xfId="58" applyFont="1" applyFill="1" applyBorder="1" applyAlignment="1" applyProtection="1">
      <alignment horizontal="left" vertical="center" wrapText="1" indent="1"/>
      <protection hidden="1"/>
    </xf>
    <xf numFmtId="3" fontId="73" fillId="108" borderId="56" xfId="58" applyNumberFormat="1" applyFont="1" applyFill="1" applyBorder="1" applyAlignment="1" applyProtection="1">
      <alignment horizontal="right" vertical="center" wrapText="1" indent="3"/>
      <protection hidden="1"/>
    </xf>
    <xf numFmtId="0" fontId="10" fillId="119" borderId="21" xfId="58" applyFont="1" applyFill="1" applyBorder="1" applyAlignment="1" applyProtection="1">
      <alignment vertical="center" textRotation="180" wrapText="1"/>
      <protection hidden="1"/>
    </xf>
    <xf numFmtId="0" fontId="72" fillId="108" borderId="56" xfId="58" applyFont="1" applyFill="1" applyBorder="1" applyAlignment="1" applyProtection="1">
      <alignment horizontal="left" vertical="center" wrapText="1" indent="1"/>
      <protection hidden="1"/>
    </xf>
    <xf numFmtId="3" fontId="72" fillId="108" borderId="56" xfId="58" applyNumberFormat="1" applyFont="1" applyFill="1" applyBorder="1" applyAlignment="1" applyProtection="1">
      <alignment horizontal="right" vertical="center" wrapText="1" indent="1"/>
      <protection hidden="1"/>
    </xf>
    <xf numFmtId="173" fontId="72" fillId="108" borderId="56" xfId="58" applyNumberFormat="1" applyFont="1" applyFill="1" applyBorder="1" applyAlignment="1" applyProtection="1">
      <alignment horizontal="right" vertical="center" wrapText="1" indent="1"/>
      <protection hidden="1"/>
    </xf>
    <xf numFmtId="0" fontId="9" fillId="0" borderId="55" xfId="58" applyFont="1" applyFill="1" applyBorder="1" applyAlignment="1" applyProtection="1">
      <alignment horizontal="center" vertical="center" wrapText="1"/>
      <protection hidden="1"/>
    </xf>
    <xf numFmtId="3" fontId="73" fillId="108" borderId="56" xfId="58" applyNumberFormat="1" applyFont="1" applyFill="1" applyBorder="1" applyAlignment="1" applyProtection="1">
      <alignment horizontal="center" vertical="center" wrapText="1"/>
      <protection hidden="1"/>
    </xf>
    <xf numFmtId="0" fontId="10" fillId="118" borderId="21" xfId="58" applyFont="1" applyFill="1" applyBorder="1" applyAlignment="1" applyProtection="1">
      <alignment horizontal="center" vertical="center" textRotation="180" wrapText="1"/>
      <protection hidden="1"/>
    </xf>
    <xf numFmtId="3" fontId="72" fillId="109" borderId="58" xfId="58" applyNumberFormat="1" applyFont="1" applyFill="1" applyBorder="1" applyAlignment="1" applyProtection="1">
      <alignment horizontal="right" wrapText="1" indent="1"/>
      <protection hidden="1"/>
    </xf>
    <xf numFmtId="3" fontId="72" fillId="109" borderId="57" xfId="58" applyNumberFormat="1" applyFont="1" applyFill="1" applyBorder="1" applyAlignment="1" applyProtection="1">
      <alignment horizontal="right" wrapText="1" indent="1"/>
      <protection hidden="1"/>
    </xf>
    <xf numFmtId="173" fontId="72" fillId="109" borderId="58" xfId="58" applyNumberFormat="1" applyFont="1" applyFill="1" applyBorder="1" applyAlignment="1" applyProtection="1">
      <alignment horizontal="right" wrapText="1" indent="1"/>
      <protection hidden="1"/>
    </xf>
    <xf numFmtId="173" fontId="72" fillId="109" borderId="57" xfId="58" applyNumberFormat="1" applyFont="1" applyFill="1" applyBorder="1" applyAlignment="1" applyProtection="1">
      <alignment horizontal="right" wrapText="1" indent="1"/>
      <protection hidden="1"/>
    </xf>
    <xf numFmtId="0" fontId="73" fillId="108" borderId="56" xfId="58" applyFont="1" applyFill="1" applyBorder="1" applyAlignment="1" applyProtection="1">
      <alignment horizontal="center" vertical="center" wrapText="1"/>
      <protection hidden="1"/>
    </xf>
    <xf numFmtId="3" fontId="72" fillId="109" borderId="57" xfId="58" applyNumberFormat="1" applyFont="1" applyFill="1" applyBorder="1" applyAlignment="1" applyProtection="1">
      <alignment horizontal="right" vertical="top" wrapText="1" indent="1"/>
      <protection hidden="1"/>
    </xf>
    <xf numFmtId="3" fontId="72" fillId="109" borderId="59" xfId="58" applyNumberFormat="1" applyFont="1" applyFill="1" applyBorder="1" applyAlignment="1" applyProtection="1">
      <alignment horizontal="right" vertical="top" wrapText="1" indent="1"/>
      <protection hidden="1"/>
    </xf>
    <xf numFmtId="173" fontId="72" fillId="109" borderId="57" xfId="58" applyNumberFormat="1" applyFont="1" applyFill="1" applyBorder="1" applyAlignment="1" applyProtection="1">
      <alignment horizontal="right" vertical="top" wrapText="1" indent="1"/>
      <protection hidden="1"/>
    </xf>
    <xf numFmtId="173" fontId="72" fillId="109" borderId="59" xfId="58" applyNumberFormat="1" applyFont="1" applyFill="1" applyBorder="1" applyAlignment="1" applyProtection="1">
      <alignment horizontal="right" vertical="top" wrapText="1" indent="1"/>
      <protection hidden="1"/>
    </xf>
    <xf numFmtId="3" fontId="73" fillId="107" borderId="56" xfId="58" applyNumberFormat="1" applyFont="1" applyFill="1" applyBorder="1" applyAlignment="1" applyProtection="1">
      <alignment horizontal="center" vertical="center" wrapText="1"/>
      <protection hidden="1"/>
    </xf>
    <xf numFmtId="3" fontId="73" fillId="107" borderId="58" xfId="58" applyNumberFormat="1" applyFont="1" applyFill="1" applyBorder="1" applyAlignment="1" applyProtection="1">
      <alignment horizontal="center" vertical="center" wrapText="1"/>
      <protection hidden="1"/>
    </xf>
    <xf numFmtId="0" fontId="10" fillId="45" borderId="21" xfId="58" applyFont="1" applyFill="1" applyBorder="1" applyAlignment="1" applyProtection="1">
      <alignment horizontal="center" vertical="center" textRotation="180" wrapText="1"/>
      <protection hidden="1"/>
    </xf>
    <xf numFmtId="3" fontId="72" fillId="110" borderId="57" xfId="58" applyNumberFormat="1" applyFont="1" applyFill="1" applyBorder="1" applyAlignment="1" applyProtection="1">
      <alignment horizontal="right" vertical="top" wrapText="1" indent="1"/>
      <protection hidden="1"/>
    </xf>
    <xf numFmtId="3" fontId="72" fillId="110" borderId="59" xfId="58" applyNumberFormat="1" applyFont="1" applyFill="1" applyBorder="1" applyAlignment="1" applyProtection="1">
      <alignment horizontal="right" vertical="top" wrapText="1" indent="1"/>
      <protection hidden="1"/>
    </xf>
    <xf numFmtId="173" fontId="72" fillId="110" borderId="57" xfId="58" applyNumberFormat="1" applyFont="1" applyFill="1" applyBorder="1" applyAlignment="1" applyProtection="1">
      <alignment horizontal="right" vertical="top" wrapText="1" indent="1"/>
      <protection hidden="1"/>
    </xf>
    <xf numFmtId="173" fontId="72" fillId="110" borderId="59" xfId="58" applyNumberFormat="1" applyFont="1" applyFill="1" applyBorder="1" applyAlignment="1" applyProtection="1">
      <alignment horizontal="right" vertical="top" wrapText="1" indent="1"/>
      <protection hidden="1"/>
    </xf>
    <xf numFmtId="0" fontId="73" fillId="110" borderId="56" xfId="58" applyFont="1" applyFill="1" applyBorder="1" applyAlignment="1" applyProtection="1">
      <alignment horizontal="left" vertical="center" wrapText="1" indent="1"/>
      <protection hidden="1"/>
    </xf>
    <xf numFmtId="0" fontId="72" fillId="110" borderId="56" xfId="58" applyFont="1" applyFill="1" applyBorder="1" applyAlignment="1" applyProtection="1">
      <alignment horizontal="left" vertical="center" wrapText="1" indent="1"/>
      <protection hidden="1"/>
    </xf>
    <xf numFmtId="0" fontId="10" fillId="120" borderId="21" xfId="58" applyFont="1" applyFill="1" applyBorder="1" applyAlignment="1" applyProtection="1">
      <alignment horizontal="center" vertical="center" textRotation="90" wrapText="1"/>
      <protection hidden="1"/>
    </xf>
    <xf numFmtId="0" fontId="10" fillId="120" borderId="21" xfId="58" applyFont="1" applyFill="1" applyBorder="1" applyAlignment="1" applyProtection="1">
      <alignment vertical="center" textRotation="180" wrapText="1"/>
      <protection hidden="1"/>
    </xf>
    <xf numFmtId="0" fontId="73" fillId="109" borderId="56" xfId="58" applyFont="1" applyFill="1" applyBorder="1" applyAlignment="1" applyProtection="1">
      <alignment horizontal="center" vertical="center" wrapText="1"/>
      <protection hidden="1"/>
    </xf>
    <xf numFmtId="0" fontId="10" fillId="121" borderId="21" xfId="58" applyFont="1" applyFill="1" applyBorder="1" applyAlignment="1" applyProtection="1">
      <alignment horizontal="center" vertical="center" textRotation="90" wrapText="1"/>
      <protection hidden="1"/>
    </xf>
    <xf numFmtId="0" fontId="10" fillId="121" borderId="21" xfId="58" applyFont="1" applyFill="1" applyBorder="1" applyAlignment="1" applyProtection="1">
      <alignment vertical="center" textRotation="180" wrapText="1"/>
      <protection hidden="1"/>
    </xf>
    <xf numFmtId="0" fontId="73" fillId="111" borderId="56" xfId="58" applyFont="1" applyFill="1" applyBorder="1" applyAlignment="1" applyProtection="1">
      <alignment horizontal="center" vertical="center" wrapText="1"/>
      <protection hidden="1"/>
    </xf>
    <xf numFmtId="3" fontId="72" fillId="109" borderId="58" xfId="58" applyNumberFormat="1" applyFont="1" applyFill="1" applyBorder="1" applyAlignment="1" applyProtection="1">
      <alignment horizontal="right" vertical="center" wrapText="1" indent="1"/>
      <protection hidden="1"/>
    </xf>
    <xf numFmtId="3" fontId="72" fillId="109" borderId="57" xfId="58" applyNumberFormat="1" applyFont="1" applyFill="1" applyBorder="1" applyAlignment="1" applyProtection="1">
      <alignment horizontal="right" vertical="center" wrapText="1" indent="1"/>
      <protection hidden="1"/>
    </xf>
    <xf numFmtId="3" fontId="72" fillId="109" borderId="59" xfId="58" applyNumberFormat="1" applyFont="1" applyFill="1" applyBorder="1" applyAlignment="1" applyProtection="1">
      <alignment horizontal="right" vertical="center" wrapText="1" indent="1"/>
      <protection hidden="1"/>
    </xf>
    <xf numFmtId="173" fontId="72" fillId="109" borderId="58" xfId="58" applyNumberFormat="1" applyFont="1" applyFill="1" applyBorder="1" applyAlignment="1" applyProtection="1">
      <alignment horizontal="right" vertical="center" wrapText="1" indent="1"/>
      <protection hidden="1"/>
    </xf>
    <xf numFmtId="173" fontId="72" fillId="109" borderId="57" xfId="58" applyNumberFormat="1" applyFont="1" applyFill="1" applyBorder="1" applyAlignment="1" applyProtection="1">
      <alignment horizontal="right" vertical="center" wrapText="1" indent="1"/>
      <protection hidden="1"/>
    </xf>
    <xf numFmtId="173" fontId="72" fillId="109" borderId="59" xfId="58" applyNumberFormat="1" applyFont="1" applyFill="1" applyBorder="1" applyAlignment="1" applyProtection="1">
      <alignment horizontal="right" vertical="center" wrapText="1" indent="1"/>
      <protection hidden="1"/>
    </xf>
    <xf numFmtId="0" fontId="182" fillId="122" borderId="70" xfId="58" applyFont="1" applyFill="1" applyBorder="1" applyAlignment="1" applyProtection="1">
      <alignment horizontal="center" vertical="center" shrinkToFit="1"/>
      <protection hidden="1"/>
    </xf>
    <xf numFmtId="0" fontId="182" fillId="122" borderId="71" xfId="58" applyFont="1" applyFill="1" applyBorder="1" applyAlignment="1" applyProtection="1">
      <alignment horizontal="center" vertical="center" shrinkToFit="1"/>
      <protection hidden="1"/>
    </xf>
    <xf numFmtId="0" fontId="182" fillId="122" borderId="72" xfId="58" applyFont="1" applyFill="1" applyBorder="1" applyAlignment="1" applyProtection="1">
      <alignment horizontal="center" vertical="center" shrinkToFit="1"/>
      <protection hidden="1"/>
    </xf>
    <xf numFmtId="0" fontId="183" fillId="122" borderId="70" xfId="58" applyFont="1" applyFill="1" applyBorder="1" applyAlignment="1" applyProtection="1">
      <alignment horizontal="center" vertical="center" shrinkToFit="1"/>
      <protection hidden="1"/>
    </xf>
    <xf numFmtId="0" fontId="183" fillId="122" borderId="71" xfId="58" applyFont="1" applyFill="1" applyBorder="1" applyAlignment="1" applyProtection="1">
      <alignment horizontal="center" vertical="center" shrinkToFit="1"/>
      <protection hidden="1"/>
    </xf>
    <xf numFmtId="0" fontId="183" fillId="122" borderId="72" xfId="58" applyFont="1" applyFill="1" applyBorder="1" applyAlignment="1" applyProtection="1">
      <alignment horizontal="center" vertical="center" shrinkToFit="1"/>
      <protection hidden="1"/>
    </xf>
    <xf numFmtId="0" fontId="73" fillId="110" borderId="56" xfId="58" applyFont="1" applyFill="1" applyBorder="1" applyAlignment="1" applyProtection="1">
      <alignment horizontal="center" vertical="center" wrapText="1"/>
      <protection hidden="1"/>
    </xf>
    <xf numFmtId="0" fontId="29" fillId="0" borderId="31" xfId="60" applyNumberFormat="1" applyFont="1" applyFill="1" applyBorder="1" applyAlignment="1" applyProtection="1">
      <alignment horizontal="center" vertical="top" shrinkToFit="1"/>
      <protection hidden="1"/>
    </xf>
    <xf numFmtId="0" fontId="30" fillId="123" borderId="68" xfId="60" applyFont="1" applyFill="1" applyBorder="1" applyAlignment="1" applyProtection="1">
      <alignment horizontal="center" vertical="center"/>
      <protection hidden="1"/>
    </xf>
    <xf numFmtId="0" fontId="30" fillId="123" borderId="69" xfId="60" applyFont="1" applyFill="1" applyBorder="1" applyAlignment="1" applyProtection="1">
      <alignment horizontal="center" vertical="center"/>
      <protection hidden="1"/>
    </xf>
    <xf numFmtId="0" fontId="30" fillId="123" borderId="45" xfId="60" applyFont="1" applyFill="1" applyBorder="1" applyAlignment="1" applyProtection="1">
      <alignment horizontal="center" vertical="center"/>
      <protection hidden="1"/>
    </xf>
    <xf numFmtId="180" fontId="19" fillId="0" borderId="34" xfId="60" applyNumberFormat="1" applyFont="1" applyFill="1" applyBorder="1" applyAlignment="1" applyProtection="1">
      <alignment horizontal="center" vertical="center"/>
      <protection locked="0"/>
    </xf>
    <xf numFmtId="180" fontId="19" fillId="0" borderId="73" xfId="60" applyNumberFormat="1" applyFont="1" applyFill="1" applyBorder="1" applyAlignment="1" applyProtection="1">
      <alignment horizontal="center" vertical="center"/>
      <protection locked="0"/>
    </xf>
    <xf numFmtId="0" fontId="184" fillId="124" borderId="34" xfId="60" applyFont="1" applyFill="1" applyBorder="1" applyAlignment="1" applyProtection="1">
      <alignment horizontal="center" vertical="center" shrinkToFit="1"/>
      <protection hidden="1"/>
    </xf>
    <xf numFmtId="0" fontId="184" fillId="124" borderId="44" xfId="60" applyFont="1" applyFill="1" applyBorder="1" applyAlignment="1" applyProtection="1">
      <alignment horizontal="center" vertical="center" shrinkToFit="1"/>
      <protection hidden="1"/>
    </xf>
    <xf numFmtId="0" fontId="184" fillId="124" borderId="73" xfId="60" applyFont="1" applyFill="1" applyBorder="1" applyAlignment="1" applyProtection="1">
      <alignment horizontal="center" vertical="center" shrinkToFit="1"/>
      <protection hidden="1"/>
    </xf>
    <xf numFmtId="0" fontId="1" fillId="39" borderId="42" xfId="60" applyFill="1" applyBorder="1" applyAlignment="1" applyProtection="1">
      <alignment horizontal="center" vertical="center"/>
      <protection hidden="1"/>
    </xf>
    <xf numFmtId="182" fontId="27" fillId="0" borderId="0" xfId="60" applyNumberFormat="1" applyFont="1" applyFill="1" applyBorder="1" applyAlignment="1" applyProtection="1">
      <alignment horizontal="right" vertical="top" shrinkToFit="1"/>
      <protection hidden="1"/>
    </xf>
    <xf numFmtId="0" fontId="185" fillId="125" borderId="68" xfId="60" applyNumberFormat="1" applyFont="1" applyFill="1" applyBorder="1" applyAlignment="1" applyProtection="1">
      <alignment horizontal="left" vertical="center" shrinkToFit="1"/>
      <protection hidden="1"/>
    </xf>
    <xf numFmtId="0" fontId="185" fillId="125" borderId="69" xfId="60" applyNumberFormat="1" applyFont="1" applyFill="1" applyBorder="1" applyAlignment="1" applyProtection="1">
      <alignment horizontal="left" vertical="center" shrinkToFit="1"/>
      <protection hidden="1"/>
    </xf>
    <xf numFmtId="0" fontId="28" fillId="0" borderId="0" xfId="60" applyFont="1" applyFill="1" applyBorder="1" applyAlignment="1" applyProtection="1">
      <alignment horizontal="center" vertical="center" shrinkToFit="1"/>
      <protection hidden="1"/>
    </xf>
    <xf numFmtId="0" fontId="8" fillId="51" borderId="20" xfId="58" applyFont="1" applyFill="1" applyBorder="1" applyAlignment="1" applyProtection="1">
      <alignment horizontal="left" vertical="center" wrapText="1"/>
      <protection hidden="1"/>
    </xf>
    <xf numFmtId="0" fontId="8" fillId="51" borderId="29" xfId="58" applyFont="1" applyFill="1" applyBorder="1" applyAlignment="1" applyProtection="1">
      <alignment horizontal="left" vertical="center" wrapText="1"/>
      <protection hidden="1"/>
    </xf>
    <xf numFmtId="0" fontId="19" fillId="83" borderId="34" xfId="60" applyFont="1" applyFill="1" applyBorder="1" applyAlignment="1" applyProtection="1">
      <alignment horizontal="center" vertical="center" shrinkToFit="1"/>
      <protection hidden="1"/>
    </xf>
    <xf numFmtId="0" fontId="19" fillId="83" borderId="73" xfId="60" applyFont="1" applyFill="1" applyBorder="1" applyAlignment="1" applyProtection="1">
      <alignment horizontal="center" vertical="center" shrinkToFit="1"/>
      <protection hidden="1"/>
    </xf>
    <xf numFmtId="0" fontId="19" fillId="0" borderId="34" xfId="60" applyFont="1" applyFill="1" applyBorder="1" applyAlignment="1" applyProtection="1">
      <alignment horizontal="center" vertical="center"/>
      <protection locked="0"/>
    </xf>
    <xf numFmtId="0" fontId="19" fillId="0" borderId="73" xfId="60" applyFont="1" applyFill="1" applyBorder="1" applyAlignment="1" applyProtection="1">
      <alignment horizontal="center" vertical="center"/>
      <protection locked="0"/>
    </xf>
    <xf numFmtId="3" fontId="186" fillId="126" borderId="74" xfId="60" applyNumberFormat="1" applyFont="1" applyFill="1" applyBorder="1" applyAlignment="1" applyProtection="1">
      <alignment horizontal="center" vertical="center" shrinkToFit="1"/>
      <protection locked="0"/>
    </xf>
    <xf numFmtId="3" fontId="186" fillId="126" borderId="75" xfId="60" applyNumberFormat="1" applyFont="1" applyFill="1" applyBorder="1" applyAlignment="1" applyProtection="1">
      <alignment horizontal="center" vertical="center" shrinkToFit="1"/>
      <protection locked="0"/>
    </xf>
    <xf numFmtId="0" fontId="25" fillId="127" borderId="69" xfId="60" applyFont="1" applyFill="1" applyBorder="1" applyAlignment="1" applyProtection="1">
      <alignment horizontal="center" vertical="center" shrinkToFit="1"/>
      <protection hidden="1"/>
    </xf>
    <xf numFmtId="0" fontId="169" fillId="88" borderId="69" xfId="60" applyFont="1" applyFill="1" applyBorder="1" applyAlignment="1" applyProtection="1">
      <alignment horizontal="center" vertical="center" shrinkToFit="1"/>
      <protection hidden="1"/>
    </xf>
    <xf numFmtId="0" fontId="169" fillId="88" borderId="45" xfId="60" applyFont="1" applyFill="1" applyBorder="1" applyAlignment="1" applyProtection="1">
      <alignment horizontal="center" vertical="center" shrinkToFit="1"/>
      <protection hidden="1"/>
    </xf>
    <xf numFmtId="174" fontId="8" fillId="43" borderId="20" xfId="58" applyNumberFormat="1" applyFont="1" applyFill="1" applyBorder="1" applyAlignment="1" applyProtection="1">
      <alignment horizontal="center" vertical="center" wrapText="1"/>
      <protection hidden="1"/>
    </xf>
    <xf numFmtId="174" fontId="8" fillId="43" borderId="29" xfId="58" applyNumberFormat="1" applyFont="1" applyFill="1" applyBorder="1" applyAlignment="1" applyProtection="1">
      <alignment horizontal="center" vertical="center" wrapText="1"/>
      <protection hidden="1"/>
    </xf>
    <xf numFmtId="3" fontId="8" fillId="43" borderId="20" xfId="58" applyNumberFormat="1" applyFont="1" applyFill="1" applyBorder="1" applyAlignment="1" applyProtection="1">
      <alignment horizontal="center" vertical="center" wrapText="1"/>
      <protection hidden="1"/>
    </xf>
    <xf numFmtId="3" fontId="8" fillId="43" borderId="29" xfId="58" applyNumberFormat="1" applyFont="1" applyFill="1" applyBorder="1" applyAlignment="1" applyProtection="1">
      <alignment horizontal="center" vertical="center" wrapText="1"/>
      <protection hidden="1"/>
    </xf>
    <xf numFmtId="0" fontId="18" fillId="44" borderId="76" xfId="60" applyFont="1" applyFill="1" applyBorder="1" applyAlignment="1" applyProtection="1">
      <alignment horizontal="center" vertical="center"/>
      <protection hidden="1"/>
    </xf>
    <xf numFmtId="0" fontId="187" fillId="93" borderId="77" xfId="60" applyFont="1" applyFill="1" applyBorder="1" applyAlignment="1" applyProtection="1">
      <alignment horizontal="center" vertical="center" wrapText="1"/>
      <protection hidden="1"/>
    </xf>
    <xf numFmtId="0" fontId="187" fillId="93" borderId="78" xfId="60" applyFont="1" applyFill="1" applyBorder="1" applyAlignment="1" applyProtection="1">
      <alignment horizontal="center" vertical="center" wrapText="1"/>
      <protection hidden="1"/>
    </xf>
    <xf numFmtId="0" fontId="187" fillId="93" borderId="79" xfId="60" applyFont="1" applyFill="1" applyBorder="1" applyAlignment="1" applyProtection="1">
      <alignment horizontal="center" vertical="center" wrapText="1"/>
      <protection hidden="1"/>
    </xf>
    <xf numFmtId="0" fontId="187" fillId="93" borderId="80" xfId="60" applyFont="1" applyFill="1" applyBorder="1" applyAlignment="1" applyProtection="1">
      <alignment horizontal="center" vertical="center" wrapText="1"/>
      <protection hidden="1"/>
    </xf>
    <xf numFmtId="0" fontId="187" fillId="93" borderId="81" xfId="60" applyFont="1" applyFill="1" applyBorder="1" applyAlignment="1" applyProtection="1">
      <alignment horizontal="center" vertical="center" wrapText="1"/>
      <protection hidden="1"/>
    </xf>
    <xf numFmtId="0" fontId="187" fillId="93" borderId="82" xfId="60" applyFont="1" applyFill="1" applyBorder="1" applyAlignment="1" applyProtection="1">
      <alignment horizontal="center" vertical="center" wrapText="1"/>
      <protection hidden="1"/>
    </xf>
    <xf numFmtId="0" fontId="188" fillId="86" borderId="83" xfId="60" applyFont="1" applyFill="1" applyBorder="1" applyAlignment="1" applyProtection="1">
      <alignment horizontal="center" vertical="center" shrinkToFit="1"/>
      <protection hidden="1"/>
    </xf>
    <xf numFmtId="0" fontId="188" fillId="86" borderId="42" xfId="60" applyFont="1" applyFill="1" applyBorder="1" applyAlignment="1" applyProtection="1">
      <alignment horizontal="center" vertical="center" shrinkToFit="1"/>
      <protection hidden="1"/>
    </xf>
    <xf numFmtId="0" fontId="188" fillId="86" borderId="84" xfId="60" applyFont="1" applyFill="1" applyBorder="1" applyAlignment="1" applyProtection="1">
      <alignment horizontal="center" vertical="center" shrinkToFit="1"/>
      <protection hidden="1"/>
    </xf>
    <xf numFmtId="49" fontId="19" fillId="0" borderId="34" xfId="60" applyNumberFormat="1" applyFont="1" applyFill="1" applyBorder="1" applyAlignment="1" applyProtection="1">
      <alignment horizontal="center" vertical="center" shrinkToFit="1"/>
      <protection locked="0"/>
    </xf>
    <xf numFmtId="49" fontId="19" fillId="0" borderId="73" xfId="60" applyNumberFormat="1" applyFont="1" applyFill="1" applyBorder="1" applyAlignment="1" applyProtection="1">
      <alignment horizontal="center" vertical="center" shrinkToFit="1"/>
      <protection locked="0"/>
    </xf>
    <xf numFmtId="176" fontId="19" fillId="0" borderId="34" xfId="60" applyNumberFormat="1" applyFont="1" applyFill="1" applyBorder="1" applyAlignment="1" applyProtection="1">
      <alignment horizontal="center" vertical="center"/>
      <protection locked="0"/>
    </xf>
    <xf numFmtId="176" fontId="19" fillId="0" borderId="73" xfId="60" applyNumberFormat="1" applyFont="1" applyFill="1" applyBorder="1" applyAlignment="1" applyProtection="1">
      <alignment horizontal="center" vertical="center"/>
      <protection locked="0"/>
    </xf>
    <xf numFmtId="0" fontId="8" fillId="51" borderId="28" xfId="58" applyFont="1" applyFill="1" applyBorder="1" applyAlignment="1" applyProtection="1">
      <alignment horizontal="left" vertical="center" wrapText="1"/>
      <protection hidden="1"/>
    </xf>
    <xf numFmtId="174" fontId="8" fillId="43" borderId="28" xfId="58" applyNumberFormat="1" applyFont="1" applyFill="1" applyBorder="1" applyAlignment="1" applyProtection="1">
      <alignment horizontal="center" vertical="center" wrapText="1"/>
      <protection hidden="1"/>
    </xf>
    <xf numFmtId="3" fontId="8" fillId="43" borderId="28" xfId="58" applyNumberFormat="1" applyFont="1" applyFill="1" applyBorder="1" applyAlignment="1" applyProtection="1">
      <alignment horizontal="center" vertical="center" wrapText="1"/>
      <protection hidden="1"/>
    </xf>
    <xf numFmtId="0" fontId="189" fillId="128" borderId="74" xfId="60" applyFont="1" applyFill="1" applyBorder="1" applyAlignment="1" applyProtection="1">
      <alignment horizontal="center" vertical="center" shrinkToFit="1"/>
      <protection hidden="1"/>
    </xf>
    <xf numFmtId="0" fontId="189" fillId="128" borderId="75" xfId="60" applyFont="1" applyFill="1" applyBorder="1" applyAlignment="1" applyProtection="1">
      <alignment horizontal="center" vertical="center" shrinkToFit="1"/>
      <protection hidden="1"/>
    </xf>
    <xf numFmtId="0" fontId="31" fillId="0" borderId="0" xfId="60" applyFont="1" applyFill="1" applyAlignment="1" applyProtection="1">
      <alignment horizontal="left" vertical="center"/>
      <protection hidden="1"/>
    </xf>
    <xf numFmtId="179" fontId="31" fillId="0" borderId="0" xfId="60" applyNumberFormat="1" applyFont="1" applyFill="1" applyAlignment="1" applyProtection="1">
      <alignment horizontal="left" vertical="center"/>
      <protection hidden="1"/>
    </xf>
    <xf numFmtId="176" fontId="31" fillId="0" borderId="0" xfId="60" applyNumberFormat="1" applyFont="1" applyFill="1" applyAlignment="1" applyProtection="1">
      <alignment horizontal="left" vertical="center"/>
      <protection hidden="1"/>
    </xf>
    <xf numFmtId="175" fontId="31" fillId="0" borderId="0" xfId="60" applyNumberFormat="1" applyFont="1" applyFill="1" applyAlignment="1" applyProtection="1">
      <alignment horizontal="left" vertical="center"/>
      <protection hidden="1"/>
    </xf>
    <xf numFmtId="0" fontId="25" fillId="43" borderId="0" xfId="60" applyFont="1" applyFill="1" applyBorder="1" applyAlignment="1" applyProtection="1">
      <alignment horizontal="center" vertical="center"/>
      <protection hidden="1"/>
    </xf>
    <xf numFmtId="0" fontId="1" fillId="0" borderId="0" xfId="60" applyAlignment="1" applyProtection="1">
      <alignment horizontal="left" vertical="center" shrinkToFit="1"/>
      <protection hidden="1"/>
    </xf>
    <xf numFmtId="0" fontId="17" fillId="43" borderId="0" xfId="60" applyFont="1" applyFill="1" applyAlignment="1" applyProtection="1">
      <alignment horizontal="left" vertical="center" shrinkToFit="1"/>
      <protection hidden="1"/>
    </xf>
    <xf numFmtId="0" fontId="3" fillId="0" borderId="85" xfId="60" applyFont="1" applyFill="1" applyBorder="1" applyAlignment="1" applyProtection="1">
      <alignment horizontal="center" vertical="center"/>
      <protection hidden="1"/>
    </xf>
    <xf numFmtId="0" fontId="3" fillId="0" borderId="86" xfId="60" applyFont="1" applyFill="1" applyBorder="1" applyAlignment="1" applyProtection="1">
      <alignment horizontal="center" vertical="center"/>
      <protection hidden="1"/>
    </xf>
    <xf numFmtId="0" fontId="3" fillId="0" borderId="87" xfId="60" applyFont="1" applyFill="1" applyBorder="1" applyAlignment="1" applyProtection="1">
      <alignment horizontal="center" vertical="center"/>
      <protection hidden="1"/>
    </xf>
    <xf numFmtId="0" fontId="31" fillId="0" borderId="0" xfId="60" applyFont="1" applyFill="1" applyAlignment="1" applyProtection="1">
      <alignment horizontal="left" vertical="center" shrinkToFit="1"/>
      <protection hidden="1"/>
    </xf>
    <xf numFmtId="0" fontId="34" fillId="45" borderId="27" xfId="60" applyFont="1" applyFill="1" applyBorder="1" applyAlignment="1" applyProtection="1">
      <alignment horizontal="center" vertical="center" shrinkToFit="1"/>
      <protection hidden="1"/>
    </xf>
    <xf numFmtId="0" fontId="34" fillId="45" borderId="0" xfId="60" applyFont="1" applyFill="1" applyBorder="1" applyAlignment="1" applyProtection="1">
      <alignment horizontal="center" vertical="center" shrinkToFit="1"/>
      <protection hidden="1"/>
    </xf>
    <xf numFmtId="0" fontId="34" fillId="45" borderId="38" xfId="60" applyFont="1" applyFill="1" applyBorder="1" applyAlignment="1" applyProtection="1">
      <alignment horizontal="center" vertical="center" shrinkToFit="1"/>
      <protection hidden="1"/>
    </xf>
    <xf numFmtId="0" fontId="63" fillId="0" borderId="47" xfId="60" applyFont="1" applyFill="1" applyBorder="1" applyAlignment="1" applyProtection="1">
      <alignment horizontal="left" vertical="center" shrinkToFit="1"/>
      <protection hidden="1"/>
    </xf>
    <xf numFmtId="179" fontId="62" fillId="0" borderId="46" xfId="60" applyNumberFormat="1" applyFont="1" applyFill="1" applyBorder="1" applyAlignment="1" applyProtection="1">
      <alignment horizontal="center" vertical="center" shrinkToFit="1"/>
      <protection locked="0"/>
    </xf>
    <xf numFmtId="0" fontId="54" fillId="97" borderId="46" xfId="60" applyFont="1" applyFill="1" applyBorder="1" applyAlignment="1" applyProtection="1">
      <alignment horizontal="center" vertical="center" shrinkToFit="1"/>
      <protection hidden="1"/>
    </xf>
    <xf numFmtId="0" fontId="169" fillId="88" borderId="46" xfId="60" applyFont="1" applyFill="1" applyBorder="1" applyAlignment="1" applyProtection="1">
      <alignment horizontal="center" vertical="center"/>
      <protection hidden="1"/>
    </xf>
    <xf numFmtId="177" fontId="62" fillId="0" borderId="46" xfId="60" applyNumberFormat="1" applyFont="1" applyFill="1" applyBorder="1" applyAlignment="1" applyProtection="1">
      <alignment horizontal="center" vertical="center" shrinkToFit="1"/>
      <protection locked="0"/>
    </xf>
    <xf numFmtId="181" fontId="62" fillId="0" borderId="46" xfId="60" applyNumberFormat="1" applyFont="1" applyFill="1" applyBorder="1" applyAlignment="1" applyProtection="1">
      <alignment horizontal="center" vertical="center" shrinkToFit="1"/>
      <protection locked="0"/>
    </xf>
    <xf numFmtId="178" fontId="62" fillId="0" borderId="46" xfId="60" applyNumberFormat="1" applyFont="1" applyFill="1" applyBorder="1" applyAlignment="1" applyProtection="1">
      <alignment horizontal="center" vertical="center" shrinkToFit="1"/>
      <protection locked="0"/>
    </xf>
    <xf numFmtId="0" fontId="3" fillId="2" borderId="85" xfId="60" applyFont="1" applyFill="1" applyBorder="1" applyAlignment="1" applyProtection="1">
      <alignment horizontal="center" vertical="center"/>
      <protection hidden="1"/>
    </xf>
    <xf numFmtId="0" fontId="3" fillId="2" borderId="27" xfId="60" applyFont="1" applyFill="1" applyBorder="1" applyAlignment="1" applyProtection="1">
      <alignment horizontal="center" vertical="center"/>
      <protection hidden="1"/>
    </xf>
    <xf numFmtId="0" fontId="3" fillId="2" borderId="88" xfId="60" applyFont="1" applyFill="1" applyBorder="1" applyAlignment="1" applyProtection="1">
      <alignment horizontal="center" vertical="center"/>
      <protection hidden="1"/>
    </xf>
    <xf numFmtId="0" fontId="62" fillId="0" borderId="46" xfId="60" applyFont="1" applyFill="1" applyBorder="1" applyAlignment="1" applyProtection="1">
      <alignment horizontal="center" vertical="center" shrinkToFit="1"/>
      <protection locked="0"/>
    </xf>
    <xf numFmtId="0" fontId="62" fillId="0" borderId="46" xfId="60" applyNumberFormat="1" applyFont="1" applyFill="1" applyBorder="1" applyAlignment="1" applyProtection="1">
      <alignment horizontal="center" vertical="center" shrinkToFit="1"/>
      <protection locked="0"/>
    </xf>
    <xf numFmtId="0" fontId="30" fillId="123" borderId="21" xfId="60" applyFont="1" applyFill="1" applyBorder="1" applyAlignment="1" applyProtection="1">
      <alignment horizontal="center" vertical="center"/>
      <protection hidden="1"/>
    </xf>
    <xf numFmtId="0" fontId="30" fillId="123" borderId="20" xfId="60" applyFont="1" applyFill="1" applyBorder="1" applyAlignment="1" applyProtection="1">
      <alignment horizontal="center" vertical="center"/>
      <protection hidden="1"/>
    </xf>
    <xf numFmtId="183" fontId="62" fillId="0" borderId="46" xfId="60" applyNumberFormat="1" applyFont="1" applyFill="1" applyBorder="1" applyAlignment="1" applyProtection="1">
      <alignment horizontal="center" vertical="center" shrinkToFit="1"/>
      <protection locked="0"/>
    </xf>
    <xf numFmtId="0" fontId="62" fillId="0" borderId="46" xfId="60" applyFont="1" applyBorder="1" applyAlignment="1" applyProtection="1">
      <alignment horizontal="center" vertical="center" shrinkToFit="1"/>
      <protection locked="0"/>
    </xf>
    <xf numFmtId="0" fontId="185" fillId="125" borderId="89" xfId="60" applyNumberFormat="1" applyFont="1" applyFill="1" applyBorder="1" applyAlignment="1" applyProtection="1">
      <alignment horizontal="left" vertical="center" shrinkToFit="1"/>
      <protection hidden="1"/>
    </xf>
    <xf numFmtId="0" fontId="25" fillId="127" borderId="90" xfId="60" applyFont="1" applyFill="1" applyBorder="1" applyAlignment="1" applyProtection="1">
      <alignment horizontal="center" vertical="center" shrinkToFit="1"/>
      <protection hidden="1"/>
    </xf>
    <xf numFmtId="0" fontId="25" fillId="127" borderId="89" xfId="60" applyFont="1" applyFill="1" applyBorder="1" applyAlignment="1" applyProtection="1">
      <alignment horizontal="center" vertical="center" shrinkToFit="1"/>
      <protection hidden="1"/>
    </xf>
    <xf numFmtId="0" fontId="0" fillId="0" borderId="69" xfId="0" applyBorder="1" applyAlignment="1" applyProtection="1">
      <alignment vertical="center"/>
      <protection hidden="1"/>
    </xf>
    <xf numFmtId="0" fontId="0" fillId="0" borderId="45" xfId="0" applyBorder="1" applyAlignment="1" applyProtection="1">
      <alignment vertical="center"/>
      <protection hidden="1"/>
    </xf>
    <xf numFmtId="49" fontId="62" fillId="0" borderId="46" xfId="60" applyNumberFormat="1" applyFont="1" applyFill="1" applyBorder="1" applyAlignment="1" applyProtection="1">
      <alignment horizontal="center" vertical="center" shrinkToFit="1"/>
      <protection locked="0"/>
    </xf>
    <xf numFmtId="175" fontId="62" fillId="0" borderId="46" xfId="60" applyNumberFormat="1" applyFont="1" applyFill="1" applyBorder="1" applyAlignment="1" applyProtection="1">
      <alignment horizontal="center" vertical="center" shrinkToFit="1"/>
      <protection locked="0"/>
    </xf>
    <xf numFmtId="176" fontId="62" fillId="0" borderId="46" xfId="60" applyNumberFormat="1" applyFont="1" applyFill="1" applyBorder="1" applyAlignment="1" applyProtection="1">
      <alignment horizontal="center" vertical="center" shrinkToFit="1"/>
      <protection locked="0"/>
    </xf>
    <xf numFmtId="180" fontId="62" fillId="0" borderId="46" xfId="60" applyNumberFormat="1" applyFont="1" applyFill="1" applyBorder="1" applyAlignment="1" applyProtection="1">
      <alignment horizontal="center" vertical="center" shrinkToFit="1"/>
      <protection locked="0"/>
    </xf>
    <xf numFmtId="0" fontId="169" fillId="124" borderId="34" xfId="60" applyFont="1" applyFill="1" applyBorder="1" applyAlignment="1" applyProtection="1">
      <alignment horizontal="center" vertical="center" shrinkToFit="1"/>
      <protection hidden="1"/>
    </xf>
    <xf numFmtId="0" fontId="169" fillId="124" borderId="44" xfId="60" applyFont="1" applyFill="1" applyBorder="1" applyAlignment="1" applyProtection="1">
      <alignment horizontal="center" vertical="center" shrinkToFit="1"/>
      <protection hidden="1"/>
    </xf>
    <xf numFmtId="0" fontId="34" fillId="45" borderId="22" xfId="60" applyFont="1" applyFill="1" applyBorder="1" applyAlignment="1" applyProtection="1">
      <alignment horizontal="center" vertical="center" shrinkToFit="1"/>
      <protection hidden="1"/>
    </xf>
    <xf numFmtId="0" fontId="61" fillId="99" borderId="46" xfId="60" applyFont="1" applyFill="1" applyBorder="1" applyAlignment="1" applyProtection="1">
      <alignment horizontal="center" vertical="center" shrinkToFit="1"/>
      <protection hidden="1"/>
    </xf>
    <xf numFmtId="0" fontId="173" fillId="129" borderId="46" xfId="60" applyFont="1" applyFill="1" applyBorder="1" applyAlignment="1" applyProtection="1">
      <alignment horizontal="left" vertical="center" shrinkToFit="1"/>
      <protection hidden="1"/>
    </xf>
    <xf numFmtId="0" fontId="18" fillId="2" borderId="86" xfId="60" applyFont="1" applyFill="1" applyBorder="1" applyAlignment="1" applyProtection="1">
      <alignment horizontal="center" vertical="center"/>
      <protection hidden="1"/>
    </xf>
    <xf numFmtId="0" fontId="18" fillId="2" borderId="0" xfId="60" applyFont="1" applyFill="1" applyBorder="1" applyAlignment="1" applyProtection="1">
      <alignment horizontal="center" vertical="center"/>
      <protection hidden="1"/>
    </xf>
    <xf numFmtId="0" fontId="3" fillId="2" borderId="63" xfId="60" applyFont="1" applyFill="1" applyBorder="1" applyAlignment="1" applyProtection="1">
      <alignment horizontal="center" vertical="center"/>
      <protection hidden="1"/>
    </xf>
    <xf numFmtId="0" fontId="3" fillId="2" borderId="17" xfId="60" applyFont="1" applyFill="1" applyBorder="1" applyAlignment="1" applyProtection="1">
      <alignment horizontal="center" vertical="center"/>
      <protection hidden="1"/>
    </xf>
    <xf numFmtId="0" fontId="3" fillId="2" borderId="91" xfId="60" applyFont="1" applyFill="1" applyBorder="1" applyAlignment="1" applyProtection="1">
      <alignment horizontal="center" vertical="center"/>
      <protection hidden="1"/>
    </xf>
    <xf numFmtId="0" fontId="63" fillId="0" borderId="48" xfId="60" applyFont="1" applyFill="1" applyBorder="1" applyAlignment="1" applyProtection="1">
      <alignment horizontal="left" vertical="center" shrinkToFit="1"/>
      <protection hidden="1"/>
    </xf>
    <xf numFmtId="0" fontId="63" fillId="11" borderId="48" xfId="60" applyFont="1" applyFill="1" applyBorder="1" applyAlignment="1" applyProtection="1">
      <alignment horizontal="left" vertical="center" shrinkToFit="1"/>
      <protection hidden="1"/>
    </xf>
    <xf numFmtId="0" fontId="175" fillId="88" borderId="46" xfId="60" applyFont="1" applyFill="1" applyBorder="1" applyAlignment="1" applyProtection="1">
      <alignment horizontal="left" vertical="center"/>
      <protection hidden="1"/>
    </xf>
    <xf numFmtId="0" fontId="63" fillId="0" borderId="48" xfId="60" applyFont="1" applyBorder="1" applyAlignment="1" applyProtection="1">
      <alignment horizontal="left" vertical="center"/>
      <protection hidden="1"/>
    </xf>
    <xf numFmtId="0" fontId="63" fillId="0" borderId="49" xfId="60" applyFont="1" applyFill="1" applyBorder="1" applyAlignment="1" applyProtection="1">
      <alignment horizontal="left" vertical="center" shrinkToFit="1"/>
      <protection hidden="1"/>
    </xf>
    <xf numFmtId="0" fontId="8" fillId="50" borderId="23" xfId="59" applyFont="1" applyFill="1" applyBorder="1" applyAlignment="1" applyProtection="1">
      <alignment vertical="center" wrapText="1"/>
      <protection hidden="1"/>
    </xf>
    <xf numFmtId="0" fontId="19" fillId="84" borderId="23" xfId="60" applyFont="1" applyFill="1" applyBorder="1" applyAlignment="1" applyProtection="1">
      <alignment horizontal="center" vertical="center" shrinkToFit="1"/>
      <protection hidden="1"/>
    </xf>
    <xf numFmtId="0" fontId="188" fillId="86" borderId="92" xfId="60" applyFont="1" applyFill="1" applyBorder="1" applyAlignment="1" applyProtection="1">
      <alignment horizontal="center" vertical="center" shrinkToFit="1"/>
      <protection hidden="1"/>
    </xf>
    <xf numFmtId="0" fontId="188" fillId="86" borderId="93" xfId="60" applyFont="1" applyFill="1" applyBorder="1" applyAlignment="1" applyProtection="1">
      <alignment horizontal="center" vertical="center" shrinkToFit="1"/>
      <protection hidden="1"/>
    </xf>
    <xf numFmtId="0" fontId="188" fillId="86" borderId="94" xfId="60" applyFont="1" applyFill="1" applyBorder="1" applyAlignment="1" applyProtection="1">
      <alignment horizontal="center" vertical="center" shrinkToFit="1"/>
      <protection hidden="1"/>
    </xf>
    <xf numFmtId="0" fontId="19" fillId="83" borderId="23" xfId="60" applyFont="1" applyFill="1" applyBorder="1" applyAlignment="1" applyProtection="1">
      <alignment horizontal="center" vertical="center" shrinkToFit="1"/>
      <protection hidden="1"/>
    </xf>
    <xf numFmtId="175" fontId="19" fillId="0" borderId="23" xfId="60" applyNumberFormat="1" applyFont="1" applyFill="1" applyBorder="1" applyAlignment="1" applyProtection="1">
      <alignment horizontal="center" vertical="center"/>
      <protection locked="0"/>
    </xf>
    <xf numFmtId="0" fontId="19" fillId="0" borderId="23" xfId="60" applyFont="1" applyFill="1" applyBorder="1" applyAlignment="1" applyProtection="1">
      <alignment horizontal="center" vertical="center"/>
      <protection locked="0"/>
    </xf>
    <xf numFmtId="180" fontId="19" fillId="0" borderId="23" xfId="60" applyNumberFormat="1" applyFont="1" applyFill="1" applyBorder="1" applyAlignment="1" applyProtection="1">
      <alignment horizontal="center" vertical="center"/>
      <protection locked="0"/>
    </xf>
    <xf numFmtId="0" fontId="187" fillId="93" borderId="95" xfId="60" applyFont="1" applyFill="1" applyBorder="1" applyAlignment="1" applyProtection="1">
      <alignment horizontal="center" vertical="center" wrapText="1"/>
      <protection hidden="1"/>
    </xf>
    <xf numFmtId="0" fontId="128" fillId="130" borderId="96" xfId="0" applyFont="1" applyFill="1" applyBorder="1" applyAlignment="1">
      <alignment/>
    </xf>
    <xf numFmtId="0" fontId="128" fillId="130" borderId="97" xfId="0" applyFont="1" applyFill="1" applyBorder="1" applyAlignment="1">
      <alignment/>
    </xf>
    <xf numFmtId="0" fontId="128" fillId="130" borderId="98" xfId="0" applyFont="1" applyFill="1" applyBorder="1" applyAlignment="1">
      <alignment/>
    </xf>
    <xf numFmtId="0" fontId="128" fillId="130" borderId="39" xfId="0" applyFont="1" applyFill="1" applyBorder="1" applyAlignment="1">
      <alignment/>
    </xf>
    <xf numFmtId="0" fontId="128" fillId="130" borderId="99" xfId="0" applyFont="1" applyFill="1" applyBorder="1" applyAlignment="1">
      <alignment/>
    </xf>
    <xf numFmtId="3" fontId="170" fillId="93" borderId="100" xfId="60" applyNumberFormat="1" applyFont="1" applyFill="1" applyBorder="1" applyAlignment="1" applyProtection="1">
      <alignment horizontal="center" vertical="center" shrinkToFit="1"/>
      <protection hidden="1"/>
    </xf>
    <xf numFmtId="3" fontId="170" fillId="93" borderId="101" xfId="60" applyNumberFormat="1" applyFont="1" applyFill="1" applyBorder="1" applyAlignment="1" applyProtection="1">
      <alignment horizontal="center" vertical="center" shrinkToFit="1"/>
      <protection hidden="1"/>
    </xf>
    <xf numFmtId="3" fontId="170" fillId="93" borderId="102" xfId="60" applyNumberFormat="1" applyFont="1" applyFill="1" applyBorder="1" applyAlignment="1" applyProtection="1">
      <alignment horizontal="center" vertical="center" shrinkToFit="1"/>
      <protection hidden="1"/>
    </xf>
    <xf numFmtId="0" fontId="19" fillId="84" borderId="34" xfId="60" applyFont="1" applyFill="1" applyBorder="1" applyAlignment="1" applyProtection="1">
      <alignment horizontal="center" vertical="center" shrinkToFit="1"/>
      <protection hidden="1"/>
    </xf>
    <xf numFmtId="0" fontId="19" fillId="84" borderId="73" xfId="60" applyFont="1" applyFill="1" applyBorder="1" applyAlignment="1" applyProtection="1">
      <alignment horizontal="center" vertical="center" shrinkToFit="1"/>
      <protection hidden="1"/>
    </xf>
    <xf numFmtId="0" fontId="19" fillId="84" borderId="34" xfId="60" applyFont="1" applyFill="1" applyBorder="1" applyAlignment="1" applyProtection="1">
      <alignment horizontal="center" vertical="center" shrinkToFit="1"/>
      <protection locked="0"/>
    </xf>
    <xf numFmtId="0" fontId="19" fillId="84" borderId="73" xfId="60" applyFont="1" applyFill="1" applyBorder="1" applyAlignment="1" applyProtection="1">
      <alignment horizontal="center" vertical="center" shrinkToFit="1"/>
      <protection locked="0"/>
    </xf>
    <xf numFmtId="0" fontId="19" fillId="0" borderId="34" xfId="60" applyFont="1" applyFill="1" applyBorder="1" applyAlignment="1" applyProtection="1">
      <alignment horizontal="center" vertical="center" shrinkToFit="1"/>
      <protection locked="0"/>
    </xf>
    <xf numFmtId="0" fontId="19" fillId="0" borderId="73" xfId="60" applyFont="1" applyFill="1" applyBorder="1" applyAlignment="1" applyProtection="1">
      <alignment horizontal="center" vertical="center" shrinkToFit="1"/>
      <protection locked="0"/>
    </xf>
    <xf numFmtId="0" fontId="19" fillId="84" borderId="23" xfId="60" applyFont="1" applyFill="1" applyBorder="1" applyAlignment="1" applyProtection="1">
      <alignment horizontal="center" vertical="center" shrinkToFit="1"/>
      <protection locked="0"/>
    </xf>
    <xf numFmtId="185" fontId="31" fillId="0" borderId="0" xfId="60" applyNumberFormat="1" applyFont="1" applyFill="1" applyAlignment="1" applyProtection="1">
      <alignment horizontal="left" vertical="center"/>
      <protection hidden="1"/>
    </xf>
    <xf numFmtId="3" fontId="170" fillId="93" borderId="103" xfId="60" applyNumberFormat="1" applyFont="1" applyFill="1" applyBorder="1" applyAlignment="1" applyProtection="1">
      <alignment horizontal="center" vertical="center" shrinkToFit="1"/>
      <protection hidden="1"/>
    </xf>
    <xf numFmtId="3" fontId="170" fillId="93" borderId="104" xfId="60" applyNumberFormat="1" applyFont="1" applyFill="1" applyBorder="1" applyAlignment="1" applyProtection="1">
      <alignment horizontal="center" vertical="center" shrinkToFit="1"/>
      <protection hidden="1"/>
    </xf>
    <xf numFmtId="3" fontId="170" fillId="93" borderId="105" xfId="60" applyNumberFormat="1" applyFont="1" applyFill="1" applyBorder="1" applyAlignment="1" applyProtection="1">
      <alignment horizontal="center" vertical="center" shrinkToFit="1"/>
      <protection hidden="1"/>
    </xf>
    <xf numFmtId="0" fontId="188" fillId="86" borderId="106" xfId="60" applyFont="1" applyFill="1" applyBorder="1" applyAlignment="1" applyProtection="1">
      <alignment horizontal="center" vertical="center" shrinkToFit="1"/>
      <protection hidden="1"/>
    </xf>
    <xf numFmtId="0" fontId="188" fillId="86" borderId="107" xfId="60" applyFont="1" applyFill="1" applyBorder="1" applyAlignment="1" applyProtection="1">
      <alignment horizontal="center" vertical="center" shrinkToFit="1"/>
      <protection hidden="1"/>
    </xf>
    <xf numFmtId="0" fontId="188" fillId="86" borderId="108" xfId="60" applyFont="1" applyFill="1" applyBorder="1" applyAlignment="1" applyProtection="1">
      <alignment horizontal="center" vertical="center" shrinkToFit="1"/>
      <protection hidden="1"/>
    </xf>
    <xf numFmtId="0" fontId="158" fillId="41" borderId="42" xfId="60" applyFont="1" applyFill="1" applyBorder="1" applyAlignment="1" applyProtection="1">
      <alignment horizontal="center" vertical="center"/>
      <protection hidden="1"/>
    </xf>
    <xf numFmtId="0" fontId="19" fillId="85" borderId="23" xfId="60" applyFont="1" applyFill="1" applyBorder="1" applyAlignment="1" applyProtection="1">
      <alignment horizontal="center" vertical="center" shrinkToFit="1"/>
      <protection locked="0"/>
    </xf>
    <xf numFmtId="177" fontId="19" fillId="0" borderId="34" xfId="60" applyNumberFormat="1" applyFont="1" applyFill="1" applyBorder="1" applyAlignment="1" applyProtection="1">
      <alignment horizontal="center" vertical="center" shrinkToFit="1"/>
      <protection locked="0"/>
    </xf>
    <xf numFmtId="177" fontId="19" fillId="0" borderId="73" xfId="60" applyNumberFormat="1" applyFont="1" applyFill="1" applyBorder="1" applyAlignment="1" applyProtection="1">
      <alignment horizontal="center" vertical="center" shrinkToFit="1"/>
      <protection locked="0"/>
    </xf>
    <xf numFmtId="180" fontId="19" fillId="0" borderId="23" xfId="60" applyNumberFormat="1" applyFont="1" applyFill="1" applyBorder="1" applyAlignment="1" applyProtection="1">
      <alignment horizontal="center" vertical="center" shrinkToFit="1"/>
      <protection locked="0"/>
    </xf>
    <xf numFmtId="179" fontId="31" fillId="0" borderId="0" xfId="60" applyNumberFormat="1" applyFont="1" applyFill="1" applyAlignment="1" applyProtection="1">
      <alignment horizontal="left" vertical="center" shrinkToFit="1"/>
      <protection hidden="1"/>
    </xf>
    <xf numFmtId="185" fontId="31" fillId="0" borderId="0" xfId="60" applyNumberFormat="1" applyFont="1" applyFill="1" applyAlignment="1" applyProtection="1">
      <alignment horizontal="left" vertical="center" shrinkToFit="1"/>
      <protection hidden="1"/>
    </xf>
    <xf numFmtId="175" fontId="31" fillId="0" borderId="0" xfId="60" applyNumberFormat="1" applyFont="1" applyFill="1" applyAlignment="1" applyProtection="1">
      <alignment horizontal="left" vertical="center" shrinkToFit="1"/>
      <protection hidden="1"/>
    </xf>
    <xf numFmtId="177" fontId="19" fillId="0" borderId="23" xfId="60" applyNumberFormat="1" applyFont="1" applyFill="1" applyBorder="1" applyAlignment="1" applyProtection="1">
      <alignment horizontal="center" vertical="center"/>
      <protection locked="0"/>
    </xf>
    <xf numFmtId="0" fontId="19" fillId="0" borderId="23" xfId="60" applyNumberFormat="1" applyFont="1" applyFill="1" applyBorder="1" applyAlignment="1" applyProtection="1">
      <alignment horizontal="center" vertical="center" wrapText="1"/>
      <protection locked="0"/>
    </xf>
    <xf numFmtId="175" fontId="19" fillId="0" borderId="23" xfId="60" applyNumberFormat="1" applyFont="1" applyFill="1" applyBorder="1" applyAlignment="1" applyProtection="1">
      <alignment horizontal="center" vertical="center" shrinkToFit="1"/>
      <protection hidden="1"/>
    </xf>
    <xf numFmtId="0" fontId="19" fillId="6" borderId="23" xfId="60" applyFont="1" applyFill="1" applyBorder="1" applyAlignment="1" applyProtection="1">
      <alignment horizontal="center" vertical="center" shrinkToFit="1"/>
      <protection hidden="1"/>
    </xf>
    <xf numFmtId="49" fontId="19" fillId="0" borderId="23" xfId="60" applyNumberFormat="1" applyFont="1" applyFill="1" applyBorder="1" applyAlignment="1" applyProtection="1">
      <alignment horizontal="center" vertical="center" shrinkToFit="1"/>
      <protection locked="0"/>
    </xf>
    <xf numFmtId="0" fontId="1" fillId="39" borderId="0" xfId="60" applyFill="1" applyBorder="1" applyAlignment="1" applyProtection="1">
      <alignment horizontal="center" vertical="center"/>
      <protection hidden="1"/>
    </xf>
    <xf numFmtId="195" fontId="19" fillId="0" borderId="23" xfId="60" applyNumberFormat="1" applyFont="1" applyFill="1" applyBorder="1" applyAlignment="1" applyProtection="1">
      <alignment horizontal="center" vertical="center"/>
      <protection locked="0"/>
    </xf>
    <xf numFmtId="0" fontId="19" fillId="0" borderId="23" xfId="60" applyFont="1" applyFill="1" applyBorder="1" applyAlignment="1" applyProtection="1">
      <alignment horizontal="center" vertical="center" shrinkToFit="1"/>
      <protection locked="0"/>
    </xf>
    <xf numFmtId="0" fontId="19" fillId="0" borderId="23" xfId="60" applyNumberFormat="1" applyFont="1" applyFill="1" applyBorder="1" applyAlignment="1" applyProtection="1">
      <alignment horizontal="center" vertical="center" shrinkToFit="1"/>
      <protection locked="0"/>
    </xf>
    <xf numFmtId="0" fontId="77" fillId="123" borderId="68" xfId="60" applyFont="1" applyFill="1" applyBorder="1" applyAlignment="1" applyProtection="1">
      <alignment horizontal="center" vertical="center" shrinkToFit="1"/>
      <protection hidden="1"/>
    </xf>
    <xf numFmtId="0" fontId="77" fillId="123" borderId="69" xfId="60" applyFont="1" applyFill="1" applyBorder="1" applyAlignment="1" applyProtection="1">
      <alignment horizontal="center" vertical="center" shrinkToFit="1"/>
      <protection hidden="1"/>
    </xf>
    <xf numFmtId="0" fontId="77" fillId="123" borderId="45" xfId="60" applyFont="1" applyFill="1" applyBorder="1" applyAlignment="1" applyProtection="1">
      <alignment horizontal="center" vertical="center" shrinkToFit="1"/>
      <protection hidden="1"/>
    </xf>
    <xf numFmtId="0" fontId="25" fillId="43" borderId="0" xfId="60" applyFont="1" applyFill="1" applyBorder="1" applyAlignment="1" applyProtection="1">
      <alignment horizontal="center" vertical="center" shrinkToFit="1"/>
      <protection hidden="1"/>
    </xf>
    <xf numFmtId="178" fontId="19" fillId="0" borderId="23" xfId="60" applyNumberFormat="1" applyFont="1" applyFill="1" applyBorder="1" applyAlignment="1" applyProtection="1">
      <alignment horizontal="center" vertical="center"/>
      <protection locked="0"/>
    </xf>
    <xf numFmtId="179" fontId="19" fillId="0" borderId="23" xfId="60" applyNumberFormat="1" applyFont="1" applyFill="1" applyBorder="1" applyAlignment="1" applyProtection="1">
      <alignment horizontal="center" vertical="center"/>
      <protection locked="0"/>
    </xf>
    <xf numFmtId="0" fontId="190" fillId="86" borderId="23" xfId="60" applyFont="1" applyFill="1" applyBorder="1" applyAlignment="1" applyProtection="1">
      <alignment horizontal="center" vertical="center" shrinkToFit="1"/>
      <protection hidden="1"/>
    </xf>
    <xf numFmtId="0" fontId="191" fillId="93" borderId="23" xfId="60" applyFont="1" applyFill="1" applyBorder="1" applyAlignment="1" applyProtection="1">
      <alignment horizontal="center" vertical="center" wrapText="1" shrinkToFit="1"/>
      <protection hidden="1"/>
    </xf>
    <xf numFmtId="0" fontId="192" fillId="58" borderId="23" xfId="60" applyFont="1" applyFill="1" applyBorder="1" applyAlignment="1" applyProtection="1">
      <alignment horizontal="center" vertical="center" shrinkToFit="1"/>
      <protection hidden="1"/>
    </xf>
    <xf numFmtId="3" fontId="60" fillId="99" borderId="23" xfId="60" applyNumberFormat="1" applyFont="1" applyFill="1" applyBorder="1" applyAlignment="1" applyProtection="1">
      <alignment horizontal="right" vertical="center" shrinkToFit="1"/>
      <protection hidden="1"/>
    </xf>
    <xf numFmtId="0" fontId="175" fillId="116" borderId="23" xfId="0" applyFont="1" applyFill="1" applyBorder="1" applyAlignment="1">
      <alignment horizontal="center" vertical="center" textRotation="90" shrinkToFit="1"/>
    </xf>
    <xf numFmtId="181" fontId="19" fillId="0" borderId="23" xfId="60" applyNumberFormat="1" applyFont="1" applyFill="1" applyBorder="1" applyAlignment="1" applyProtection="1">
      <alignment horizontal="center" vertical="center"/>
      <protection locked="0"/>
    </xf>
    <xf numFmtId="0" fontId="169" fillId="124" borderId="35" xfId="60" applyFont="1" applyFill="1" applyBorder="1" applyAlignment="1" applyProtection="1">
      <alignment horizontal="center" vertical="center" shrinkToFit="1"/>
      <protection hidden="1"/>
    </xf>
    <xf numFmtId="0" fontId="169" fillId="124" borderId="42" xfId="60" applyFont="1" applyFill="1" applyBorder="1" applyAlignment="1" applyProtection="1">
      <alignment horizontal="center" vertical="center" shrinkToFit="1"/>
      <protection hidden="1"/>
    </xf>
    <xf numFmtId="0" fontId="169" fillId="124" borderId="41" xfId="60" applyFont="1" applyFill="1" applyBorder="1" applyAlignment="1" applyProtection="1">
      <alignment horizontal="center" vertical="center" shrinkToFit="1"/>
      <protection hidden="1"/>
    </xf>
    <xf numFmtId="0" fontId="169" fillId="124" borderId="37" xfId="60" applyFont="1" applyFill="1" applyBorder="1" applyAlignment="1" applyProtection="1">
      <alignment horizontal="center" vertical="center" shrinkToFit="1"/>
      <protection hidden="1"/>
    </xf>
    <xf numFmtId="0" fontId="169" fillId="124" borderId="39" xfId="60" applyFont="1" applyFill="1" applyBorder="1" applyAlignment="1" applyProtection="1">
      <alignment horizontal="center" vertical="center" shrinkToFit="1"/>
      <protection hidden="1"/>
    </xf>
    <xf numFmtId="0" fontId="169" fillId="124" borderId="40" xfId="60" applyFont="1" applyFill="1" applyBorder="1" applyAlignment="1" applyProtection="1">
      <alignment horizontal="center" vertical="center" shrinkToFit="1"/>
      <protection hidden="1"/>
    </xf>
    <xf numFmtId="178" fontId="19" fillId="0" borderId="23" xfId="60" applyNumberFormat="1" applyFont="1" applyFill="1" applyBorder="1" applyAlignment="1" applyProtection="1">
      <alignment horizontal="center" vertical="center" shrinkToFit="1"/>
      <protection locked="0"/>
    </xf>
    <xf numFmtId="0" fontId="175" fillId="131" borderId="23" xfId="60" applyFont="1" applyFill="1" applyBorder="1" applyAlignment="1" applyProtection="1">
      <alignment horizontal="center" vertical="center" shrinkToFit="1"/>
      <protection hidden="1"/>
    </xf>
    <xf numFmtId="176" fontId="19" fillId="0" borderId="23" xfId="60" applyNumberFormat="1" applyFont="1" applyFill="1" applyBorder="1" applyAlignment="1" applyProtection="1">
      <alignment horizontal="center" vertical="center"/>
      <protection locked="0"/>
    </xf>
    <xf numFmtId="0" fontId="149" fillId="42" borderId="17" xfId="60" applyFont="1" applyFill="1" applyBorder="1" applyAlignment="1" applyProtection="1">
      <alignment horizontal="center" vertical="center"/>
      <protection hidden="1"/>
    </xf>
    <xf numFmtId="0" fontId="149" fillId="42" borderId="109" xfId="60" applyFont="1" applyFill="1" applyBorder="1" applyAlignment="1" applyProtection="1">
      <alignment horizontal="center" vertical="center"/>
      <protection hidden="1"/>
    </xf>
    <xf numFmtId="186" fontId="19" fillId="0" borderId="23" xfId="60" applyNumberFormat="1" applyFont="1" applyFill="1" applyBorder="1" applyAlignment="1" applyProtection="1">
      <alignment horizontal="center" vertical="center"/>
      <protection locked="0"/>
    </xf>
    <xf numFmtId="0" fontId="159" fillId="87" borderId="31" xfId="60" applyFont="1" applyFill="1" applyBorder="1" applyAlignment="1" applyProtection="1">
      <alignment horizontal="center" vertical="center"/>
      <protection hidden="1"/>
    </xf>
    <xf numFmtId="0" fontId="169" fillId="88" borderId="90" xfId="60" applyFont="1" applyFill="1" applyBorder="1" applyAlignment="1" applyProtection="1">
      <alignment horizontal="center" vertical="center" shrinkToFit="1"/>
      <protection hidden="1"/>
    </xf>
    <xf numFmtId="0" fontId="0" fillId="0" borderId="69" xfId="0" applyBorder="1" applyAlignment="1" applyProtection="1">
      <alignment vertical="center" shrinkToFit="1"/>
      <protection hidden="1"/>
    </xf>
    <xf numFmtId="0" fontId="0" fillId="0" borderId="45" xfId="0" applyBorder="1" applyAlignment="1" applyProtection="1">
      <alignment vertical="center" shrinkToFit="1"/>
      <protection hidden="1"/>
    </xf>
    <xf numFmtId="0" fontId="18" fillId="44" borderId="0" xfId="60" applyFont="1" applyFill="1" applyBorder="1" applyAlignment="1" applyProtection="1">
      <alignment horizontal="center" vertical="center"/>
      <protection hidden="1"/>
    </xf>
    <xf numFmtId="0" fontId="62" fillId="0" borderId="46" xfId="60" applyNumberFormat="1" applyFont="1" applyFill="1" applyBorder="1" applyAlignment="1" applyProtection="1">
      <alignment horizontal="center" vertical="center" shrinkToFit="1"/>
      <protection hidden="1"/>
    </xf>
    <xf numFmtId="0" fontId="193" fillId="86" borderId="34" xfId="60" applyFont="1" applyFill="1" applyBorder="1" applyAlignment="1" applyProtection="1">
      <alignment horizontal="center" vertical="center" shrinkToFit="1"/>
      <protection hidden="1"/>
    </xf>
    <xf numFmtId="0" fontId="193" fillId="86" borderId="44" xfId="60" applyFont="1" applyFill="1" applyBorder="1" applyAlignment="1" applyProtection="1">
      <alignment horizontal="center" vertical="center" shrinkToFit="1"/>
      <protection hidden="1"/>
    </xf>
    <xf numFmtId="0" fontId="193" fillId="86" borderId="73" xfId="60" applyFont="1" applyFill="1" applyBorder="1" applyAlignment="1" applyProtection="1">
      <alignment horizontal="center" vertical="center" shrinkToFit="1"/>
      <protection hidden="1"/>
    </xf>
    <xf numFmtId="0" fontId="76" fillId="123" borderId="21" xfId="60" applyFont="1" applyFill="1" applyBorder="1" applyAlignment="1" applyProtection="1">
      <alignment horizontal="center" vertical="center" shrinkToFit="1"/>
      <protection hidden="1"/>
    </xf>
    <xf numFmtId="0" fontId="76" fillId="123" borderId="20" xfId="60" applyFont="1" applyFill="1" applyBorder="1" applyAlignment="1" applyProtection="1">
      <alignment horizontal="center" vertical="center" shrinkToFit="1"/>
      <protection hidden="1"/>
    </xf>
    <xf numFmtId="0" fontId="169" fillId="88" borderId="110" xfId="60" applyFont="1" applyFill="1" applyBorder="1" applyAlignment="1" applyProtection="1">
      <alignment horizontal="center" vertical="center"/>
      <protection hidden="1"/>
    </xf>
    <xf numFmtId="0" fontId="169" fillId="88" borderId="111" xfId="60" applyFont="1" applyFill="1" applyBorder="1" applyAlignment="1" applyProtection="1">
      <alignment horizontal="center" vertical="center"/>
      <protection hidden="1"/>
    </xf>
    <xf numFmtId="0" fontId="169" fillId="88" borderId="112" xfId="60" applyFont="1" applyFill="1" applyBorder="1" applyAlignment="1" applyProtection="1">
      <alignment horizontal="center" vertical="center"/>
      <protection hidden="1"/>
    </xf>
    <xf numFmtId="0" fontId="173" fillId="129" borderId="60" xfId="60" applyFont="1" applyFill="1" applyBorder="1" applyAlignment="1" applyProtection="1">
      <alignment horizontal="left" vertical="center" shrinkToFit="1"/>
      <protection hidden="1"/>
    </xf>
    <xf numFmtId="0" fontId="189" fillId="94" borderId="60" xfId="60" applyFont="1" applyFill="1" applyBorder="1" applyAlignment="1" applyProtection="1">
      <alignment horizontal="center" vertical="center" textRotation="90"/>
      <protection hidden="1"/>
    </xf>
    <xf numFmtId="0" fontId="185" fillId="132" borderId="85" xfId="60" applyNumberFormat="1" applyFont="1" applyFill="1" applyBorder="1" applyAlignment="1" applyProtection="1">
      <alignment horizontal="center" vertical="center" shrinkToFit="1"/>
      <protection hidden="1"/>
    </xf>
    <xf numFmtId="0" fontId="185" fillId="132" borderId="27" xfId="60" applyNumberFormat="1" applyFont="1" applyFill="1" applyBorder="1" applyAlignment="1" applyProtection="1">
      <alignment horizontal="center" vertical="center" shrinkToFit="1"/>
      <protection hidden="1"/>
    </xf>
    <xf numFmtId="0" fontId="185" fillId="132" borderId="88" xfId="60" applyNumberFormat="1" applyFont="1" applyFill="1" applyBorder="1" applyAlignment="1" applyProtection="1">
      <alignment horizontal="center" vertical="center" shrinkToFit="1"/>
      <protection hidden="1"/>
    </xf>
    <xf numFmtId="0" fontId="38" fillId="67" borderId="0" xfId="60" applyFont="1" applyFill="1" applyAlignment="1" applyProtection="1">
      <alignment horizontal="center" vertical="center"/>
      <protection hidden="1"/>
    </xf>
    <xf numFmtId="0" fontId="40" fillId="133" borderId="0" xfId="60" applyFont="1" applyFill="1" applyAlignment="1" applyProtection="1">
      <alignment horizontal="center" vertical="center"/>
      <protection hidden="1"/>
    </xf>
    <xf numFmtId="0" fontId="172" fillId="134" borderId="0" xfId="60" applyFont="1" applyFill="1" applyBorder="1" applyAlignment="1" applyProtection="1">
      <alignment horizontal="right" vertical="center" shrinkToFit="1"/>
      <protection hidden="1"/>
    </xf>
    <xf numFmtId="0" fontId="194" fillId="76" borderId="0" xfId="60" applyFont="1" applyFill="1" applyAlignment="1" applyProtection="1">
      <alignment horizontal="center" vertical="center" shrinkToFit="1"/>
      <protection hidden="1"/>
    </xf>
    <xf numFmtId="0" fontId="1" fillId="55" borderId="0" xfId="60" applyFill="1" applyAlignment="1" applyProtection="1">
      <alignment horizontal="center" vertical="center"/>
      <protection hidden="1"/>
    </xf>
    <xf numFmtId="0" fontId="1" fillId="68" borderId="0" xfId="60" applyFill="1" applyAlignment="1" applyProtection="1">
      <alignment horizontal="center" vertical="center"/>
      <protection hidden="1"/>
    </xf>
    <xf numFmtId="0" fontId="195" fillId="135" borderId="0" xfId="60" applyFont="1" applyFill="1" applyAlignment="1" applyProtection="1">
      <alignment horizontal="right" vertical="center" shrinkToFit="1"/>
      <protection hidden="1"/>
    </xf>
    <xf numFmtId="0" fontId="1" fillId="95" borderId="0" xfId="60" applyFill="1" applyAlignment="1" applyProtection="1">
      <alignment horizontal="center" vertical="center"/>
      <protection hidden="1"/>
    </xf>
    <xf numFmtId="0" fontId="196" fillId="116" borderId="0" xfId="60" applyFont="1" applyFill="1" applyAlignment="1" applyProtection="1">
      <alignment horizontal="center" vertical="center" shrinkToFit="1"/>
      <protection hidden="1"/>
    </xf>
    <xf numFmtId="0" fontId="188" fillId="136" borderId="113" xfId="60" applyFont="1" applyFill="1" applyBorder="1" applyAlignment="1" applyProtection="1">
      <alignment horizontal="left" vertical="center" shrinkToFit="1"/>
      <protection hidden="1"/>
    </xf>
    <xf numFmtId="0" fontId="188" fillId="136" borderId="114" xfId="60" applyFont="1" applyFill="1" applyBorder="1" applyAlignment="1" applyProtection="1">
      <alignment horizontal="left" vertical="center" shrinkToFit="1"/>
      <protection hidden="1"/>
    </xf>
    <xf numFmtId="0" fontId="44" fillId="137" borderId="115" xfId="60" applyFont="1" applyFill="1" applyBorder="1" applyAlignment="1" applyProtection="1">
      <alignment horizontal="center" vertical="center"/>
      <protection hidden="1"/>
    </xf>
    <xf numFmtId="0" fontId="44" fillId="137" borderId="116" xfId="60" applyFont="1" applyFill="1" applyBorder="1" applyAlignment="1" applyProtection="1">
      <alignment horizontal="center" vertical="center"/>
      <protection hidden="1"/>
    </xf>
    <xf numFmtId="0" fontId="44" fillId="137" borderId="117" xfId="60" applyFont="1" applyFill="1" applyBorder="1" applyAlignment="1" applyProtection="1">
      <alignment horizontal="center" vertical="center"/>
      <protection hidden="1"/>
    </xf>
    <xf numFmtId="0" fontId="44" fillId="138" borderId="118" xfId="60" applyFont="1" applyFill="1" applyBorder="1" applyAlignment="1" applyProtection="1">
      <alignment horizontal="center" vertical="center"/>
      <protection hidden="1"/>
    </xf>
    <xf numFmtId="0" fontId="44" fillId="138" borderId="119" xfId="60" applyFont="1" applyFill="1" applyBorder="1" applyAlignment="1" applyProtection="1">
      <alignment horizontal="center" vertical="center"/>
      <protection hidden="1"/>
    </xf>
    <xf numFmtId="0" fontId="44" fillId="138" borderId="120" xfId="60" applyFont="1" applyFill="1" applyBorder="1" applyAlignment="1" applyProtection="1">
      <alignment horizontal="center" vertical="center"/>
      <protection hidden="1"/>
    </xf>
    <xf numFmtId="0" fontId="188" fillId="139" borderId="121" xfId="60" applyFont="1" applyFill="1" applyBorder="1" applyAlignment="1" applyProtection="1">
      <alignment horizontal="right" vertical="center"/>
      <protection hidden="1"/>
    </xf>
    <xf numFmtId="0" fontId="188" fillId="139" borderId="122" xfId="60" applyFont="1" applyFill="1" applyBorder="1" applyAlignment="1" applyProtection="1">
      <alignment horizontal="right" vertical="center"/>
      <protection hidden="1"/>
    </xf>
    <xf numFmtId="0" fontId="47" fillId="140" borderId="0" xfId="60" applyFont="1" applyFill="1" applyBorder="1" applyAlignment="1" applyProtection="1">
      <alignment horizontal="right" vertical="center" shrinkToFit="1"/>
      <protection hidden="1"/>
    </xf>
    <xf numFmtId="0" fontId="159" fillId="86" borderId="0" xfId="60" applyFont="1" applyFill="1" applyAlignment="1" applyProtection="1">
      <alignment horizontal="center" vertical="center" shrinkToFit="1"/>
      <protection hidden="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2 2" xfId="59"/>
    <cellStyle name="Normal 2 3" xfId="60"/>
    <cellStyle name="Normal 3" xfId="61"/>
    <cellStyle name="Normal 4" xfId="62"/>
    <cellStyle name="Note" xfId="63"/>
    <cellStyle name="Output" xfId="64"/>
    <cellStyle name="Percent"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externalLink" Target="externalLinks/externalLink4.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Users\Lingachari\Downloads\Excel%20Apps\hff%2028\revised%20hff\New%20HFF%20201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nsurance%20App%20Files\WC%20Prem%20Calc.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Users\Lingachari\Downloads\Excel%20Apps\hff%2028\revised%20hff\WC%20Prem%20Calc.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F:\Users\Lingachari\Downloads\Excel%20Apps\hff%2028\revised%20hff\Motor%20Prem%20Calc%20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reword"/>
      <sheetName val="Pricing"/>
      <sheetName val="Compute"/>
      <sheetName val="Compare"/>
      <sheetName val="Submit"/>
      <sheetName val="Briefing"/>
      <sheetName val="Analyze"/>
      <sheetName val="Acturial"/>
      <sheetName val="Space"/>
      <sheetName val="Regards"/>
      <sheetName val="Signing"/>
      <sheetName val="Sheet1"/>
    </sheetNames>
    <sheetDataSet>
      <sheetData sheetId="2">
        <row r="2">
          <cell r="AU2">
            <v>0</v>
          </cell>
        </row>
        <row r="3">
          <cell r="AU3" t="str">
            <v/>
          </cell>
        </row>
        <row r="4">
          <cell r="AU4" t="str">
            <v/>
          </cell>
        </row>
        <row r="5">
          <cell r="AU5" t="str">
            <v/>
          </cell>
        </row>
        <row r="6">
          <cell r="AU6" t="str">
            <v/>
          </cell>
          <cell r="BC6">
            <v>0</v>
          </cell>
        </row>
        <row r="7">
          <cell r="AU7" t="str">
            <v/>
          </cell>
          <cell r="BC7" t="str">
            <v/>
          </cell>
        </row>
        <row r="8">
          <cell r="AU8" t="str">
            <v/>
          </cell>
          <cell r="BC8" t="str">
            <v/>
          </cell>
        </row>
        <row r="9">
          <cell r="AU9" t="str">
            <v/>
          </cell>
          <cell r="BC9" t="str">
            <v/>
          </cell>
        </row>
        <row r="10">
          <cell r="AU10" t="str">
            <v/>
          </cell>
          <cell r="BC10" t="str">
            <v/>
          </cell>
        </row>
        <row r="11">
          <cell r="AU11" t="str">
            <v/>
          </cell>
          <cell r="BC11" t="str">
            <v/>
          </cell>
        </row>
        <row r="12">
          <cell r="AU12" t="str">
            <v/>
          </cell>
          <cell r="BC12" t="str">
            <v/>
          </cell>
        </row>
        <row r="13">
          <cell r="AU13" t="str">
            <v/>
          </cell>
          <cell r="BC13" t="str">
            <v/>
          </cell>
        </row>
        <row r="14">
          <cell r="AU14" t="str">
            <v/>
          </cell>
          <cell r="BC14" t="str">
            <v/>
          </cell>
        </row>
        <row r="15">
          <cell r="AU15" t="str">
            <v/>
          </cell>
          <cell r="BC15" t="str">
            <v/>
          </cell>
        </row>
        <row r="16">
          <cell r="AU16" t="str">
            <v/>
          </cell>
          <cell r="BC16" t="str">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eword"/>
      <sheetName val="Tariff"/>
      <sheetName val="Brief"/>
      <sheetName val="Quotation"/>
      <sheetName val="Compen"/>
      <sheetName val="Proposal"/>
      <sheetName val="Regards"/>
      <sheetName val="Quotation (2)"/>
      <sheetName val="Sign"/>
      <sheetName val="Sheet1"/>
    </sheetNames>
    <sheetDataSet>
      <sheetData sheetId="3">
        <row r="18">
          <cell r="M18" t="str">
            <v>SL 04</v>
          </cell>
          <cell r="N18" t="str">
            <v>Engineers not otherwise classified - Incl. work away from shop or yard upto 9 mtrs height</v>
          </cell>
          <cell r="O18" t="str">
            <v/>
          </cell>
        </row>
        <row r="22">
          <cell r="M22" t="str">
            <v/>
          </cell>
          <cell r="N22" t="str">
            <v/>
          </cell>
          <cell r="O22" t="str">
            <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eword"/>
      <sheetName val="Tariff"/>
      <sheetName val="Quotation"/>
      <sheetName val="Brief"/>
      <sheetName val="Proposal"/>
      <sheetName val="Compen"/>
      <sheetName val="Regards"/>
      <sheetName val="Sign"/>
      <sheetName val="Sheet1"/>
    </sheetNames>
    <sheetDataSet>
      <sheetData sheetId="2">
        <row r="18">
          <cell r="N18" t="str">
            <v>SL 04</v>
          </cell>
          <cell r="O18" t="str">
            <v>Steel work (Steel Making )</v>
          </cell>
        </row>
        <row r="22">
          <cell r="N22" t="str">
            <v/>
          </cell>
          <cell r="O22" t="str">
            <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eword"/>
      <sheetName val="Tariffs"/>
      <sheetName val="2 Wh"/>
      <sheetName val="Pvt Car"/>
      <sheetName val="PCCV"/>
      <sheetName val="GCCV"/>
      <sheetName val="Misc"/>
      <sheetName val="E-Quote"/>
      <sheetName val="Space"/>
      <sheetName val="Regards"/>
      <sheetName val="Sign"/>
    </sheetNames>
    <sheetDataSet>
      <sheetData sheetId="2">
        <row r="4">
          <cell r="V4">
            <v>0</v>
          </cell>
          <cell r="W4">
            <v>0</v>
          </cell>
        </row>
        <row r="5">
          <cell r="W5">
            <v>20</v>
          </cell>
        </row>
        <row r="6">
          <cell r="W6">
            <v>25</v>
          </cell>
        </row>
        <row r="7">
          <cell r="W7">
            <v>35</v>
          </cell>
        </row>
        <row r="8">
          <cell r="W8">
            <v>45</v>
          </cell>
        </row>
        <row r="9">
          <cell r="W9">
            <v>50</v>
          </cell>
        </row>
        <row r="10">
          <cell r="W10">
            <v>65</v>
          </cell>
        </row>
        <row r="14">
          <cell r="O14" t="str">
            <v>W/o Ren Disc</v>
          </cell>
          <cell r="P14" t="str">
            <v>Yes</v>
          </cell>
          <cell r="V14">
            <v>100000</v>
          </cell>
        </row>
        <row r="15">
          <cell r="O15" t="str">
            <v>With Ren Disc</v>
          </cell>
          <cell r="P15" t="str">
            <v>No</v>
          </cell>
        </row>
        <row r="16">
          <cell r="O16" t="str">
            <v>No</v>
          </cell>
        </row>
      </sheetData>
      <sheetData sheetId="3">
        <row r="12">
          <cell r="P12" t="str">
            <v>Yes</v>
          </cell>
        </row>
        <row r="13">
          <cell r="P13" t="str">
            <v>No</v>
          </cell>
        </row>
      </sheetData>
      <sheetData sheetId="4">
        <row r="29">
          <cell r="U29" t="str">
            <v>W/o Ren Disc</v>
          </cell>
          <cell r="V29" t="str">
            <v>Yes</v>
          </cell>
        </row>
        <row r="30">
          <cell r="U30" t="str">
            <v>With Ren Disc</v>
          </cell>
          <cell r="V30" t="str">
            <v>No</v>
          </cell>
        </row>
        <row r="31">
          <cell r="U31" t="str">
            <v>No</v>
          </cell>
        </row>
      </sheetData>
      <sheetData sheetId="5">
        <row r="26">
          <cell r="T26" t="str">
            <v>W/o Ren Disc</v>
          </cell>
          <cell r="U26" t="str">
            <v>Yes</v>
          </cell>
        </row>
        <row r="27">
          <cell r="T27" t="str">
            <v>With Ren Disc</v>
          </cell>
          <cell r="U27" t="str">
            <v>No</v>
          </cell>
        </row>
        <row r="28">
          <cell r="T28" t="str">
            <v>No</v>
          </cell>
        </row>
      </sheetData>
      <sheetData sheetId="6">
        <row r="10">
          <cell r="U10" t="str">
            <v>Yes</v>
          </cell>
        </row>
        <row r="11">
          <cell r="U11"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mailto:lingachari@orientalinsurance.co.in" TargetMode="Externa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I44"/>
  <sheetViews>
    <sheetView showGridLines="0" showRowColHeaders="0" zoomScalePageLayoutView="0" workbookViewId="0" topLeftCell="A1">
      <selection activeCell="E4" sqref="E4:F4"/>
    </sheetView>
  </sheetViews>
  <sheetFormatPr defaultColWidth="0" defaultRowHeight="0" customHeight="1" zeroHeight="1"/>
  <cols>
    <col min="1" max="1" width="3.00390625" style="18" customWidth="1"/>
    <col min="2" max="2" width="1.28515625" style="2" customWidth="1"/>
    <col min="3" max="3" width="3.421875" style="2" customWidth="1"/>
    <col min="4" max="4" width="1.28515625" style="2" customWidth="1"/>
    <col min="5" max="5" width="81.7109375" style="2" customWidth="1"/>
    <col min="6" max="6" width="1.28515625" style="2" customWidth="1"/>
    <col min="7" max="7" width="3.421875" style="2" customWidth="1"/>
    <col min="8" max="8" width="1.28515625" style="2" customWidth="1"/>
    <col min="9" max="9" width="3.00390625" style="18" customWidth="1"/>
    <col min="10" max="16384" width="9.140625" style="2" hidden="1" customWidth="1"/>
  </cols>
  <sheetData>
    <row r="1" spans="1:9" ht="18" customHeight="1" thickBot="1">
      <c r="A1" s="1"/>
      <c r="B1" s="1"/>
      <c r="C1" s="1"/>
      <c r="D1" s="1"/>
      <c r="E1" s="1"/>
      <c r="F1" s="1"/>
      <c r="G1" s="1"/>
      <c r="H1" s="1"/>
      <c r="I1" s="1"/>
    </row>
    <row r="2" spans="1:9" s="3" customFormat="1" ht="30.75" customHeight="1">
      <c r="A2" s="1"/>
      <c r="B2" s="529" t="s">
        <v>0</v>
      </c>
      <c r="C2" s="530"/>
      <c r="D2" s="530"/>
      <c r="E2" s="530"/>
      <c r="F2" s="530"/>
      <c r="G2" s="530"/>
      <c r="H2" s="531"/>
      <c r="I2" s="1"/>
    </row>
    <row r="3" spans="1:9" ht="18.75" customHeight="1">
      <c r="A3" s="1"/>
      <c r="B3" s="4"/>
      <c r="C3" s="5"/>
      <c r="D3" s="6"/>
      <c r="E3" s="7" t="s">
        <v>410</v>
      </c>
      <c r="F3" s="6"/>
      <c r="G3" s="5"/>
      <c r="H3" s="8"/>
      <c r="I3" s="1"/>
    </row>
    <row r="4" spans="1:9" ht="4.5" customHeight="1">
      <c r="A4" s="1"/>
      <c r="B4" s="4"/>
      <c r="C4" s="6"/>
      <c r="D4" s="6"/>
      <c r="E4" s="9"/>
      <c r="F4" s="6"/>
      <c r="G4" s="6"/>
      <c r="H4" s="8"/>
      <c r="I4" s="1"/>
    </row>
    <row r="5" spans="1:9" ht="18.75" customHeight="1">
      <c r="A5" s="1"/>
      <c r="B5" s="4"/>
      <c r="C5" s="5"/>
      <c r="D5" s="6"/>
      <c r="E5" s="7" t="s">
        <v>411</v>
      </c>
      <c r="F5" s="6"/>
      <c r="G5" s="5"/>
      <c r="H5" s="8"/>
      <c r="I5" s="1"/>
    </row>
    <row r="6" spans="1:9" ht="4.5" customHeight="1">
      <c r="A6" s="1"/>
      <c r="B6" s="4"/>
      <c r="C6" s="6"/>
      <c r="D6" s="6"/>
      <c r="E6" s="9"/>
      <c r="F6" s="6"/>
      <c r="G6" s="6"/>
      <c r="H6" s="8"/>
      <c r="I6" s="1"/>
    </row>
    <row r="7" spans="1:9" ht="18.75" customHeight="1">
      <c r="A7" s="1"/>
      <c r="B7" s="4"/>
      <c r="C7" s="5"/>
      <c r="D7" s="6"/>
      <c r="E7" s="7" t="s">
        <v>1</v>
      </c>
      <c r="F7" s="6"/>
      <c r="G7" s="5"/>
      <c r="H7" s="8"/>
      <c r="I7" s="1"/>
    </row>
    <row r="8" spans="1:9" ht="4.5" customHeight="1">
      <c r="A8" s="1"/>
      <c r="B8" s="4"/>
      <c r="C8" s="6"/>
      <c r="D8" s="6"/>
      <c r="E8" s="9"/>
      <c r="F8" s="6"/>
      <c r="G8" s="6"/>
      <c r="H8" s="8"/>
      <c r="I8" s="1"/>
    </row>
    <row r="9" spans="1:9" ht="18.75" customHeight="1">
      <c r="A9" s="1"/>
      <c r="B9" s="4"/>
      <c r="C9" s="5"/>
      <c r="D9" s="6"/>
      <c r="E9" s="7" t="s">
        <v>409</v>
      </c>
      <c r="F9" s="6"/>
      <c r="G9" s="5"/>
      <c r="H9" s="8"/>
      <c r="I9" s="1"/>
    </row>
    <row r="10" spans="1:9" ht="4.5" customHeight="1">
      <c r="A10" s="1"/>
      <c r="B10" s="4"/>
      <c r="C10" s="6"/>
      <c r="D10" s="6"/>
      <c r="E10" s="9"/>
      <c r="F10" s="6"/>
      <c r="G10" s="6"/>
      <c r="H10" s="8"/>
      <c r="I10" s="1"/>
    </row>
    <row r="11" spans="1:9" ht="18.75" customHeight="1">
      <c r="A11" s="1"/>
      <c r="B11" s="4"/>
      <c r="C11" s="5"/>
      <c r="D11" s="6"/>
      <c r="E11" s="7" t="s">
        <v>2</v>
      </c>
      <c r="F11" s="6"/>
      <c r="G11" s="5"/>
      <c r="H11" s="8"/>
      <c r="I11" s="1"/>
    </row>
    <row r="12" spans="1:9" ht="4.5" customHeight="1">
      <c r="A12" s="1"/>
      <c r="B12" s="4"/>
      <c r="C12" s="6"/>
      <c r="D12" s="6"/>
      <c r="E12" s="9"/>
      <c r="F12" s="6"/>
      <c r="G12" s="6"/>
      <c r="H12" s="8"/>
      <c r="I12" s="1"/>
    </row>
    <row r="13" spans="1:9" ht="18.75" customHeight="1">
      <c r="A13" s="1"/>
      <c r="B13" s="4"/>
      <c r="C13" s="5"/>
      <c r="D13" s="6"/>
      <c r="E13" s="7" t="s">
        <v>3</v>
      </c>
      <c r="F13" s="6"/>
      <c r="G13" s="5"/>
      <c r="H13" s="8"/>
      <c r="I13" s="1"/>
    </row>
    <row r="14" spans="1:9" ht="4.5" customHeight="1">
      <c r="A14" s="1"/>
      <c r="B14" s="4"/>
      <c r="C14" s="6"/>
      <c r="D14" s="6"/>
      <c r="E14" s="9"/>
      <c r="F14" s="6"/>
      <c r="G14" s="6"/>
      <c r="H14" s="8"/>
      <c r="I14" s="1"/>
    </row>
    <row r="15" spans="1:9" ht="18.75" customHeight="1">
      <c r="A15" s="1"/>
      <c r="B15" s="4"/>
      <c r="C15" s="5"/>
      <c r="D15" s="6"/>
      <c r="E15" s="7" t="s">
        <v>4</v>
      </c>
      <c r="F15" s="6"/>
      <c r="G15" s="5"/>
      <c r="H15" s="8"/>
      <c r="I15" s="1"/>
    </row>
    <row r="16" spans="1:9" ht="4.5" customHeight="1">
      <c r="A16" s="1"/>
      <c r="B16" s="4"/>
      <c r="C16" s="6"/>
      <c r="D16" s="6"/>
      <c r="E16" s="9"/>
      <c r="F16" s="6"/>
      <c r="G16" s="6"/>
      <c r="H16" s="8"/>
      <c r="I16" s="1"/>
    </row>
    <row r="17" spans="1:9" ht="18.75" customHeight="1">
      <c r="A17" s="1"/>
      <c r="B17" s="4"/>
      <c r="C17" s="5"/>
      <c r="D17" s="6"/>
      <c r="E17" s="7" t="s">
        <v>5</v>
      </c>
      <c r="F17" s="6"/>
      <c r="G17" s="5"/>
      <c r="H17" s="8"/>
      <c r="I17" s="1"/>
    </row>
    <row r="18" spans="1:9" ht="4.5" customHeight="1">
      <c r="A18" s="1"/>
      <c r="B18" s="4"/>
      <c r="C18" s="6"/>
      <c r="D18" s="6"/>
      <c r="E18" s="9"/>
      <c r="F18" s="6"/>
      <c r="G18" s="6"/>
      <c r="H18" s="8"/>
      <c r="I18" s="1"/>
    </row>
    <row r="19" spans="1:9" ht="18.75" customHeight="1">
      <c r="A19" s="1"/>
      <c r="B19" s="4"/>
      <c r="C19" s="5"/>
      <c r="D19" s="6"/>
      <c r="E19" s="7" t="s">
        <v>6</v>
      </c>
      <c r="F19" s="6"/>
      <c r="G19" s="5"/>
      <c r="H19" s="8"/>
      <c r="I19" s="1"/>
    </row>
    <row r="20" spans="1:9" ht="4.5" customHeight="1">
      <c r="A20" s="1"/>
      <c r="B20" s="4"/>
      <c r="C20" s="6"/>
      <c r="D20" s="6"/>
      <c r="E20" s="9"/>
      <c r="F20" s="6"/>
      <c r="G20" s="6"/>
      <c r="H20" s="8"/>
      <c r="I20" s="1"/>
    </row>
    <row r="21" spans="1:9" ht="18.75" customHeight="1">
      <c r="A21" s="1"/>
      <c r="B21" s="4"/>
      <c r="C21" s="5"/>
      <c r="D21" s="6"/>
      <c r="E21" s="7" t="s">
        <v>7</v>
      </c>
      <c r="F21" s="6"/>
      <c r="G21" s="5"/>
      <c r="H21" s="8"/>
      <c r="I21" s="1"/>
    </row>
    <row r="22" spans="1:9" ht="4.5" customHeight="1">
      <c r="A22" s="1"/>
      <c r="B22" s="4"/>
      <c r="C22" s="6"/>
      <c r="D22" s="6"/>
      <c r="E22" s="9"/>
      <c r="F22" s="6"/>
      <c r="G22" s="6"/>
      <c r="H22" s="8"/>
      <c r="I22" s="1"/>
    </row>
    <row r="23" spans="1:9" ht="18.75" customHeight="1">
      <c r="A23" s="1"/>
      <c r="B23" s="4"/>
      <c r="C23" s="5"/>
      <c r="D23" s="6"/>
      <c r="E23" s="7" t="s">
        <v>8</v>
      </c>
      <c r="F23" s="6"/>
      <c r="G23" s="5"/>
      <c r="H23" s="8"/>
      <c r="I23" s="1"/>
    </row>
    <row r="24" spans="1:9" ht="4.5" customHeight="1">
      <c r="A24" s="1"/>
      <c r="B24" s="4"/>
      <c r="C24" s="6"/>
      <c r="D24" s="6"/>
      <c r="E24" s="9"/>
      <c r="F24" s="6"/>
      <c r="G24" s="6"/>
      <c r="H24" s="8"/>
      <c r="I24" s="1"/>
    </row>
    <row r="25" spans="1:9" ht="18.75" customHeight="1">
      <c r="A25" s="1"/>
      <c r="B25" s="4"/>
      <c r="C25" s="5"/>
      <c r="D25" s="6"/>
      <c r="E25" s="7" t="s">
        <v>405</v>
      </c>
      <c r="F25" s="6"/>
      <c r="G25" s="5"/>
      <c r="H25" s="8"/>
      <c r="I25" s="1"/>
    </row>
    <row r="26" spans="1:9" ht="6.75" customHeight="1">
      <c r="A26" s="1"/>
      <c r="B26" s="4"/>
      <c r="C26" s="6"/>
      <c r="D26" s="6"/>
      <c r="E26" s="6"/>
      <c r="F26" s="6"/>
      <c r="G26" s="6"/>
      <c r="H26" s="8"/>
      <c r="I26" s="1"/>
    </row>
    <row r="27" spans="1:9" ht="3" customHeight="1">
      <c r="A27" s="1"/>
      <c r="B27" s="4"/>
      <c r="C27" s="532"/>
      <c r="D27" s="532"/>
      <c r="E27" s="532"/>
      <c r="F27" s="532"/>
      <c r="G27" s="532"/>
      <c r="H27" s="8"/>
      <c r="I27" s="1"/>
    </row>
    <row r="28" spans="1:9" s="11" customFormat="1" ht="21.75" customHeight="1">
      <c r="A28" s="1"/>
      <c r="B28" s="4"/>
      <c r="C28" s="533" t="s">
        <v>339</v>
      </c>
      <c r="D28" s="533"/>
      <c r="E28" s="533"/>
      <c r="F28" s="533"/>
      <c r="G28" s="533"/>
      <c r="H28" s="8"/>
      <c r="I28" s="1"/>
    </row>
    <row r="29" spans="1:9" s="11" customFormat="1" ht="3" customHeight="1">
      <c r="A29" s="1"/>
      <c r="B29" s="4"/>
      <c r="C29" s="10"/>
      <c r="D29" s="10"/>
      <c r="E29" s="10"/>
      <c r="F29" s="10"/>
      <c r="G29" s="10"/>
      <c r="H29" s="8"/>
      <c r="I29" s="1"/>
    </row>
    <row r="30" spans="1:9" s="11" customFormat="1" ht="4.5" customHeight="1" thickBot="1">
      <c r="A30" s="1"/>
      <c r="B30" s="12"/>
      <c r="C30" s="13"/>
      <c r="D30" s="13"/>
      <c r="E30" s="13"/>
      <c r="F30" s="13"/>
      <c r="G30" s="13"/>
      <c r="H30" s="14"/>
      <c r="I30" s="1"/>
    </row>
    <row r="31" spans="1:9" s="11" customFormat="1" ht="18" customHeight="1" thickBot="1">
      <c r="A31" s="1"/>
      <c r="B31" s="1"/>
      <c r="C31" s="1"/>
      <c r="D31" s="1"/>
      <c r="E31" s="1"/>
      <c r="F31" s="1"/>
      <c r="G31" s="1"/>
      <c r="H31" s="1"/>
      <c r="I31" s="1"/>
    </row>
    <row r="32" spans="1:9" ht="15.75" hidden="1" thickBot="1">
      <c r="A32" s="15"/>
      <c r="B32" s="16"/>
      <c r="C32" s="16"/>
      <c r="D32" s="16"/>
      <c r="E32" s="16"/>
      <c r="F32" s="16"/>
      <c r="G32" s="16"/>
      <c r="H32" s="16"/>
      <c r="I32" s="15"/>
    </row>
    <row r="33" spans="1:9" ht="15.75" hidden="1" thickBot="1">
      <c r="A33" s="15"/>
      <c r="B33" s="16"/>
      <c r="C33" s="16"/>
      <c r="D33" s="16"/>
      <c r="E33" s="16"/>
      <c r="F33" s="16"/>
      <c r="G33" s="16"/>
      <c r="H33" s="16"/>
      <c r="I33" s="15"/>
    </row>
    <row r="34" spans="1:9" ht="15.75" hidden="1" thickBot="1">
      <c r="A34" s="15"/>
      <c r="B34" s="16"/>
      <c r="C34" s="16"/>
      <c r="D34" s="16"/>
      <c r="E34" s="16"/>
      <c r="F34" s="16"/>
      <c r="G34" s="16"/>
      <c r="H34" s="16"/>
      <c r="I34" s="15"/>
    </row>
    <row r="35" spans="1:9" ht="15.75" hidden="1" thickBot="1">
      <c r="A35" s="15"/>
      <c r="B35" s="16"/>
      <c r="C35" s="16"/>
      <c r="D35" s="16"/>
      <c r="E35" s="16"/>
      <c r="F35" s="16"/>
      <c r="G35" s="16"/>
      <c r="H35" s="16"/>
      <c r="I35" s="15"/>
    </row>
    <row r="36" spans="1:9" ht="15.75" hidden="1" thickBot="1">
      <c r="A36" s="15"/>
      <c r="B36" s="16"/>
      <c r="C36" s="16"/>
      <c r="D36" s="16"/>
      <c r="E36" s="16"/>
      <c r="F36" s="16"/>
      <c r="G36" s="16"/>
      <c r="H36" s="16"/>
      <c r="I36" s="15"/>
    </row>
    <row r="37" spans="1:9" ht="15.75" hidden="1" thickBot="1">
      <c r="A37" s="15"/>
      <c r="B37" s="16"/>
      <c r="C37" s="16"/>
      <c r="D37" s="16"/>
      <c r="E37" s="16"/>
      <c r="F37" s="16"/>
      <c r="G37" s="16"/>
      <c r="H37" s="16"/>
      <c r="I37" s="15"/>
    </row>
    <row r="38" spans="1:9" ht="15.75" hidden="1" thickBot="1">
      <c r="A38" s="15"/>
      <c r="B38" s="16"/>
      <c r="C38" s="16"/>
      <c r="D38" s="16"/>
      <c r="E38" s="16"/>
      <c r="F38" s="16"/>
      <c r="G38" s="16"/>
      <c r="H38" s="16"/>
      <c r="I38" s="15"/>
    </row>
    <row r="39" spans="1:9" ht="15.75" hidden="1" thickBot="1">
      <c r="A39" s="15"/>
      <c r="B39" s="16"/>
      <c r="C39" s="16"/>
      <c r="D39" s="16"/>
      <c r="E39" s="16"/>
      <c r="F39" s="16"/>
      <c r="G39" s="16"/>
      <c r="H39" s="16"/>
      <c r="I39" s="15"/>
    </row>
    <row r="40" spans="1:9" ht="15.75" hidden="1" thickBot="1">
      <c r="A40" s="15"/>
      <c r="B40" s="16"/>
      <c r="C40" s="16"/>
      <c r="D40" s="16"/>
      <c r="E40" s="16"/>
      <c r="F40" s="16"/>
      <c r="G40" s="16"/>
      <c r="H40" s="16"/>
      <c r="I40" s="15"/>
    </row>
    <row r="41" spans="1:9" ht="15.75" hidden="1" thickBot="1">
      <c r="A41" s="15"/>
      <c r="B41" s="16"/>
      <c r="C41" s="16"/>
      <c r="D41" s="16"/>
      <c r="E41" s="16"/>
      <c r="F41" s="16"/>
      <c r="G41" s="16"/>
      <c r="H41" s="16"/>
      <c r="I41" s="15"/>
    </row>
    <row r="42" spans="1:9" ht="15.75" hidden="1" thickBot="1">
      <c r="A42" s="15"/>
      <c r="B42" s="16"/>
      <c r="C42" s="16"/>
      <c r="D42" s="16"/>
      <c r="E42" s="16"/>
      <c r="F42" s="16"/>
      <c r="G42" s="16"/>
      <c r="H42" s="16"/>
      <c r="I42" s="15"/>
    </row>
    <row r="43" spans="1:9" ht="15.75" hidden="1" thickBot="1">
      <c r="A43" s="15"/>
      <c r="B43" s="16"/>
      <c r="C43" s="16"/>
      <c r="D43" s="16"/>
      <c r="E43" s="16"/>
      <c r="F43" s="16"/>
      <c r="G43" s="16"/>
      <c r="H43" s="16"/>
      <c r="I43" s="15"/>
    </row>
    <row r="44" spans="1:9" ht="0" customHeight="1" hidden="1" thickBot="1" thickTop="1">
      <c r="A44" s="17"/>
      <c r="I44" s="17"/>
    </row>
    <row r="45" ht="0" customHeight="1" hidden="1"/>
    <row r="46" ht="0" customHeight="1" hidden="1"/>
    <row r="47" ht="0" customHeight="1" hidden="1"/>
    <row r="48" ht="0" customHeight="1" hidden="1"/>
    <row r="49" ht="0" customHeight="1" hidden="1"/>
    <row r="50" ht="0" customHeight="1" hidden="1"/>
    <row r="51" ht="0" customHeight="1" hidden="1"/>
    <row r="52" ht="0" customHeight="1" hidden="1"/>
    <row r="53" ht="0" customHeight="1" hidden="1"/>
  </sheetData>
  <sheetProtection password="CE28" sheet="1" selectLockedCells="1" selectUnlockedCells="1"/>
  <mergeCells count="3">
    <mergeCell ref="B2:H2"/>
    <mergeCell ref="C27:G27"/>
    <mergeCell ref="C28:G28"/>
  </mergeCells>
  <printOptions horizontalCentered="1"/>
  <pageMargins left="0.3" right="0.3" top="1" bottom="1" header="0.5118055555555555" footer="0.5118055555555555"/>
  <pageSetup fitToHeight="1" fitToWidth="1" horizontalDpi="300" verticalDpi="300" orientation="portrait" paperSize="9" r:id="rId1"/>
</worksheet>
</file>

<file path=xl/worksheets/sheet10.xml><?xml version="1.0" encoding="utf-8"?>
<worksheet xmlns="http://schemas.openxmlformats.org/spreadsheetml/2006/main" xmlns:r="http://schemas.openxmlformats.org/officeDocument/2006/relationships">
  <sheetPr>
    <tabColor theme="0"/>
    <pageSetUpPr fitToPage="1"/>
  </sheetPr>
  <dimension ref="A1:H15"/>
  <sheetViews>
    <sheetView showGridLines="0" showRowColHeaders="0" zoomScale="116" zoomScaleNormal="116" zoomScalePageLayoutView="0" workbookViewId="0" topLeftCell="A1">
      <selection activeCell="D4" sqref="D4"/>
    </sheetView>
  </sheetViews>
  <sheetFormatPr defaultColWidth="0" defaultRowHeight="15" customHeight="1" zeroHeight="1"/>
  <cols>
    <col min="1" max="1" width="2.28125" style="2" customWidth="1"/>
    <col min="2" max="2" width="2.8515625" style="2" customWidth="1"/>
    <col min="3" max="3" width="1.57421875" style="2" customWidth="1"/>
    <col min="4" max="4" width="18.00390625" style="2" customWidth="1"/>
    <col min="5" max="5" width="85.140625" style="2" customWidth="1"/>
    <col min="6" max="6" width="1.57421875" style="242" customWidth="1"/>
    <col min="7" max="7" width="2.8515625" style="2" customWidth="1"/>
    <col min="8" max="8" width="2.28125" style="2" customWidth="1"/>
    <col min="9" max="16384" width="9.140625" style="2" hidden="1" customWidth="1"/>
  </cols>
  <sheetData>
    <row r="1" spans="1:8" ht="10.5" customHeight="1">
      <c r="A1" s="798"/>
      <c r="B1" s="227"/>
      <c r="C1" s="228"/>
      <c r="D1" s="229"/>
      <c r="E1" s="229"/>
      <c r="F1" s="229"/>
      <c r="G1" s="229"/>
      <c r="H1" s="230"/>
    </row>
    <row r="2" spans="1:8" ht="21.75" customHeight="1">
      <c r="A2" s="798"/>
      <c r="B2" s="231"/>
      <c r="C2" s="799" t="s">
        <v>184</v>
      </c>
      <c r="D2" s="799"/>
      <c r="E2" s="800" t="s">
        <v>185</v>
      </c>
      <c r="F2" s="800"/>
      <c r="G2" s="800"/>
      <c r="H2" s="230"/>
    </row>
    <row r="3" spans="1:8" ht="13.5" customHeight="1">
      <c r="A3" s="798"/>
      <c r="B3" s="231"/>
      <c r="C3" s="232"/>
      <c r="D3" s="232"/>
      <c r="E3" s="232"/>
      <c r="F3" s="232"/>
      <c r="G3" s="233"/>
      <c r="H3" s="230"/>
    </row>
    <row r="4" spans="1:8" ht="39.75" customHeight="1">
      <c r="A4" s="798"/>
      <c r="B4" s="231"/>
      <c r="C4" s="234"/>
      <c r="D4" s="235" t="s">
        <v>186</v>
      </c>
      <c r="E4" s="517" t="str">
        <f>CONCATENATE('2 Wh'!T17,CHAR(10),CHAR(10),'2 Wh'!T18,'2 Wh'!T19,CHAR(10),CHAR(10),Sign!F12)</f>
        <v>Mr. Gogulamudi Lingachari
Thank you for contacting us for obtaining Premium Details of our Co's Two Wheeler Insurance Policy and we wish to furnish the details of the same, for your kind reference:
     #  Name of the Registered Owner:  Mr. Gogulamudi Lingachari
     #  Vehicle's Registration Number:  TS09EM4104
     #  Make and Model of the Vehicle:  Enfield Electra
     #  Type of Policy/Cover Opted:  Liability Only
     #  Cubic Capacity of the Vehicle:  120 CC
     #  Age of Vehicle (As per RC):  3 Year(s)
     #  Zone of Registration:  Zone:  A
     #  Owner-Driver-PA Cover:  Opted
Premium is to paid for An Amount of Rs.1228/- Inclusive of Ser Tax @ 18% towards Renewal of Liability Only for the above Risk.
Request you to arrange the above quoted premium along with the required vehicle documents, to enable us to issue the policy at the earliest.
Please call on us for more details and policy purchase immediately.
Thanking you and assuring you of our best services at all times.
G. Lingachari
AO (Mktg), DO-VI
Mob: 98856 32211
</v>
      </c>
      <c r="F4" s="236"/>
      <c r="G4" s="233"/>
      <c r="H4" s="230"/>
    </row>
    <row r="5" spans="1:8" ht="13.5" customHeight="1">
      <c r="A5" s="798"/>
      <c r="B5" s="231"/>
      <c r="C5" s="234"/>
      <c r="D5" s="237"/>
      <c r="E5" s="238"/>
      <c r="F5" s="234"/>
      <c r="G5" s="233"/>
      <c r="H5" s="230"/>
    </row>
    <row r="6" spans="1:8" ht="39.75" customHeight="1">
      <c r="A6" s="798"/>
      <c r="B6" s="231"/>
      <c r="C6" s="234"/>
      <c r="D6" s="239" t="s">
        <v>187</v>
      </c>
      <c r="E6" s="517" t="str">
        <f>CONCATENATE('Pvt Car'!V22,CHAR(10),CHAR(10),'Pvt Car'!V23,'Pvt Car'!V24,CHAR(10),CHAR(10),Sign!F12)</f>
        <v>Mr. Lingachari Gogulamudi
Thank you for contacting us for obtaining Premium Details of our Co's Private Car Insurance Policy and we wish to furnish the details of the same, for your kind reference:
     #  Name of the Registered Owner:  Mr. Lingachari Gogulamudi
     #  Vehicle's Registration Number:  AP 09CR 4190
     #  Make and Model of the Vehicle:  Ford Classic
     #  Coverage to be offered: Package Policy, NDP, EPC, RTI
     #  Sum Insured of Vehicle:  Rs.909909/- 
     #  Cubic Capacity of the Vehicle:  1001 - 1500 CC CC
     #  Age of Vehicle (As per RC):  6 Mths - 1 Yr Year(s)
     #  Owner-Driver-PA Cover:  Opted
Premium is to paid for An Amount of Rs.25667/- Inclusive of GST @ 18% towards Renewal of Package Policy for the above Risk.
Request you to arrange the above quoted premium along with the required vehicle documents, to enable us to issue the policy at the earliest.
Please call on us for more details and policy purchase immediately.
Thanking you and assuring you of our best services at all times.
G. Lingachari
AO (Mktg), DO-VI
Mob: 98856 32211
</v>
      </c>
      <c r="F6" s="236"/>
      <c r="G6" s="233"/>
      <c r="H6" s="230"/>
    </row>
    <row r="7" spans="1:8" ht="13.5" customHeight="1">
      <c r="A7" s="798"/>
      <c r="B7" s="231"/>
      <c r="C7" s="234"/>
      <c r="D7" s="237"/>
      <c r="E7" s="238"/>
      <c r="F7" s="234"/>
      <c r="G7" s="233"/>
      <c r="H7" s="230"/>
    </row>
    <row r="8" spans="1:8" ht="39.75" customHeight="1">
      <c r="A8" s="798"/>
      <c r="B8" s="231"/>
      <c r="C8" s="234"/>
      <c r="D8" s="235" t="s">
        <v>188</v>
      </c>
      <c r="E8" s="517" t="str">
        <f>CONCATENATE(PCCV!AB20,CHAR(10),CHAR(10),PCCV!AB21,PCCV!AB22,CHAR(10),CHAR(10),Sign!F12)</f>
        <v>Mr. Gogulamudi Lingachari
Thank you for contacting us for obtaining Premium Details of our Co's Passenger Carrying Comm Veh Insurance Policy and we wish to furnish the details of the same, for your kind reference:
     #  Name of the Registered Owner:  Mr. Gogulamudi Lingachari
     #  Vehicle's Registration Number:  AP 09CR 4190
     #  Make and Model of the Vehicle:  Ford Classic
     #  Type of Policy/Cover Opted:  Package Policy, NDP Cover
     #  IDV (Insured's Declared Value) of Vehicle:  Rs.1081089/- 
     #  Ele / Electronic Accessories, if any:  Rs.108108/- 
     #  Non-Ele Accessories, If any:  Rs.108108/- 
     #  Cubic Capacity of the Vehicle:  1389 CC
     #  Age of Vehicle (As per RC):  2 Year(s)
     #  Zone of Registration:  Zone:  A CC
     #  Owner-Driver-PA Cover:  Opted
     #  NCB (No Clam Bonus):  20% (on Renewal of Cover)
Premium is to paid for An Amount of Rs.55813/- Inclusive of Ser Tax @ 18% towards Renewal of Package Policy for the above Risk.
Request you to arrange the above quoted premium along with the required vehicle documents, to enable us to issue the policy at the earliest.
Please call on us for more details and policy purchase immediately.
Thanking you and assuring you of our best services at all times.
G. Lingachari
AO (Mktg), DO-VI
Mob: 98856 32211
</v>
      </c>
      <c r="F8" s="236"/>
      <c r="G8" s="233"/>
      <c r="H8" s="230"/>
    </row>
    <row r="9" spans="1:8" ht="13.5" customHeight="1">
      <c r="A9" s="798"/>
      <c r="B9" s="231"/>
      <c r="C9" s="234"/>
      <c r="D9" s="237"/>
      <c r="E9" s="238"/>
      <c r="F9" s="234"/>
      <c r="G9" s="233"/>
      <c r="H9" s="230"/>
    </row>
    <row r="10" spans="1:8" ht="39.75" customHeight="1">
      <c r="A10" s="798"/>
      <c r="B10" s="231"/>
      <c r="C10" s="234"/>
      <c r="D10" s="239" t="s">
        <v>189</v>
      </c>
      <c r="E10" s="517" t="str">
        <f>CONCATENATE(GCCV!AB20,CHAR(10),CHAR(10),GCCV!AB21,GCCV!AB22,CHAR(10),CHAR(10),Sign!F12)</f>
        <v>Mr. Gogulamudi Lingachari
Thank you for contacting us for obtaining Premium Details of our Co's Goods Carrier Commercial Vehicle Insurance Policy and we wish to furnish the details of the same, for your kind reference:
     #  Name of the Registered Owner:  Mr. Gogulamudi Lingachari
     #  Vehicle's Registration Number:  AP 99 UB 1234
     #  Type of Policy/Cover Opted:  Package Policy, NDP Cover
     #  Make and Model of the Vehicle:  Tata Tanker
     #  GVW (Gross Vehicle Weight):  27000 Kgs
     #  Age of Vehicle (As per RC):  2 Year(s)
     #  Zone of Registration:  Zone:  C
     #  Owner-Driver-PA Cover:  Opted
     #  Limited TPPD Cover:  Opted, Hence Deleted
     #  NCB (No Clam Bonus):  20% (on Renewal of Cover)
Premium is to paid for An Amount of Rs.48099/- Inclusive of Ser Tax @ 18% towards Renewal of Package Policy for the above Risk.
Request you to arrange the above quoted premium along with the required vehicle documents, to enable us to issue the policy at the earliest.
Please call on us for more details and policy purchase immediately.
Thanking you and assuring you of our best services at all times.
G. Lingachari
AO (Mktg), DO-VI
Mob: 98856 32211
</v>
      </c>
      <c r="F10" s="240"/>
      <c r="G10" s="233"/>
      <c r="H10" s="230"/>
    </row>
    <row r="11" spans="1:8" ht="13.5" customHeight="1">
      <c r="A11" s="798"/>
      <c r="B11" s="231"/>
      <c r="C11" s="234"/>
      <c r="D11" s="237"/>
      <c r="E11" s="238"/>
      <c r="F11" s="234"/>
      <c r="G11" s="233"/>
      <c r="H11" s="230"/>
    </row>
    <row r="12" spans="1:8" ht="39.75" customHeight="1">
      <c r="A12" s="798"/>
      <c r="B12" s="231"/>
      <c r="C12" s="234"/>
      <c r="D12" s="235" t="s">
        <v>190</v>
      </c>
      <c r="E12" s="517" t="str">
        <f>CONCATENATE(Misc!AB19,CHAR(10),CHAR(10),Misc!AB20,Misc!AB21,CHAR(10),CHAR(10),Sign!F12)</f>
        <v>Mr. Gogulamudi Lingachari
Thank you for contacting us for obtaining Premium Details of our Co's Misc Class of Insurance Policy and we wish to furnish the details of the same, for your kind reference:
     #  Name of the Registered Owner:  Mr. Gogulamudi Lingachari
     #  Make and Model of the Vehicle:  Tata Hitachi
     #  Type of Policy/Cover Opted:  Package Policy, NDP Cover
     #  Sum Insured of Vehicle:  Rs.909099/- 
     #  Over Turning Cover, Opted if any:  Yes, Opted
     #  Age of Vehicle (As per RC):  2 Year(s)
FALSE     #  Owner-Driver-PA Cover:  Opted
     #  NCB (No Clam Bonus):  20% (on Renewal of Cover)
Premium is to paid for An Amount of Rs.8833/- Inclusive of Ser Tax @ 18% towards Renewal of Package Policy for the above Risk.
Request you to arrange the above quoted premium along with the required vehicle documents, to enable us to issue the policy at the earliest.
Please call on us for more details and policy purchase immediately.
Thanking you and assuring you of our best services at all times.
G. Lingachari
AO (Mktg), DO-VI
Mob: 98856 32211
</v>
      </c>
      <c r="F12" s="240"/>
      <c r="G12" s="233"/>
      <c r="H12" s="230"/>
    </row>
    <row r="13" spans="1:8" ht="13.5" customHeight="1">
      <c r="A13" s="798"/>
      <c r="B13" s="231"/>
      <c r="C13" s="234"/>
      <c r="D13" s="234"/>
      <c r="E13" s="234"/>
      <c r="F13" s="234"/>
      <c r="G13" s="233"/>
      <c r="H13" s="230"/>
    </row>
    <row r="14" spans="1:8" ht="21.75" customHeight="1">
      <c r="A14" s="798"/>
      <c r="B14" s="801" t="str">
        <f>Tariffs!B75</f>
        <v>SmartCalc… Most Reliable, Simple, Fast and Efficient - Lingachari Oriental</v>
      </c>
      <c r="C14" s="801"/>
      <c r="D14" s="801"/>
      <c r="E14" s="801"/>
      <c r="F14" s="801"/>
      <c r="G14" s="801"/>
      <c r="H14" s="230"/>
    </row>
    <row r="15" spans="1:8" ht="10.5" customHeight="1">
      <c r="A15" s="230"/>
      <c r="B15" s="230"/>
      <c r="C15" s="230"/>
      <c r="D15" s="230"/>
      <c r="E15" s="230"/>
      <c r="F15" s="241"/>
      <c r="G15" s="230"/>
      <c r="H15" s="230"/>
    </row>
  </sheetData>
  <sheetProtection password="CE28" sheet="1"/>
  <mergeCells count="4">
    <mergeCell ref="A1:A14"/>
    <mergeCell ref="C2:D2"/>
    <mergeCell ref="E2:G2"/>
    <mergeCell ref="B14:G14"/>
  </mergeCells>
  <printOptions horizontalCentered="1"/>
  <pageMargins left="0.7" right="0.7" top="0.75" bottom="0.75" header="0.5118055555555555" footer="0.5118055555555555"/>
  <pageSetup fitToHeight="1" fitToWidth="1" horizontalDpi="300" verticalDpi="300" orientation="portrait" paperSize="9" scale="76" r:id="rId1"/>
</worksheet>
</file>

<file path=xl/worksheets/sheet11.xml><?xml version="1.0" encoding="utf-8"?>
<worksheet xmlns="http://schemas.openxmlformats.org/spreadsheetml/2006/main" xmlns:r="http://schemas.openxmlformats.org/officeDocument/2006/relationships">
  <sheetPr>
    <tabColor rgb="FF00B050"/>
  </sheetPr>
  <dimension ref="A1:L24"/>
  <sheetViews>
    <sheetView showRowColHeaders="0" zoomScalePageLayoutView="0" workbookViewId="0" topLeftCell="A1">
      <selection activeCell="H11" sqref="H11"/>
    </sheetView>
  </sheetViews>
  <sheetFormatPr defaultColWidth="0" defaultRowHeight="15" customHeight="1" zeroHeight="1"/>
  <cols>
    <col min="1" max="1" width="3.140625" style="37" customWidth="1"/>
    <col min="2" max="11" width="10.8515625" style="37" customWidth="1"/>
    <col min="12" max="12" width="3.140625" style="37" customWidth="1"/>
    <col min="13" max="16384" width="0" style="37" hidden="1" customWidth="1"/>
  </cols>
  <sheetData>
    <row r="1" spans="1:12" ht="19.5" customHeight="1">
      <c r="A1" s="802"/>
      <c r="B1" s="803"/>
      <c r="C1" s="803"/>
      <c r="D1" s="803"/>
      <c r="E1" s="803"/>
      <c r="F1" s="803"/>
      <c r="G1" s="803"/>
      <c r="H1" s="803"/>
      <c r="I1" s="804" t="s">
        <v>191</v>
      </c>
      <c r="J1" s="804"/>
      <c r="K1" s="804"/>
      <c r="L1" s="804"/>
    </row>
    <row r="2" spans="1:12" ht="15" customHeight="1">
      <c r="A2" s="802"/>
      <c r="B2" s="318"/>
      <c r="C2" s="318"/>
      <c r="D2" s="318"/>
      <c r="E2" s="318"/>
      <c r="F2" s="318"/>
      <c r="G2" s="318"/>
      <c r="H2" s="318"/>
      <c r="I2" s="318"/>
      <c r="J2" s="318"/>
      <c r="K2" s="318"/>
      <c r="L2" s="805"/>
    </row>
    <row r="3" spans="1:12" ht="15" customHeight="1">
      <c r="A3" s="802"/>
      <c r="B3" s="318"/>
      <c r="C3" s="318"/>
      <c r="D3" s="318"/>
      <c r="E3" s="318"/>
      <c r="F3" s="318"/>
      <c r="G3" s="318"/>
      <c r="H3" s="318"/>
      <c r="I3" s="318"/>
      <c r="J3" s="318"/>
      <c r="K3" s="318"/>
      <c r="L3" s="805"/>
    </row>
    <row r="4" spans="1:12" ht="15" customHeight="1">
      <c r="A4" s="802"/>
      <c r="B4" s="318"/>
      <c r="C4" s="318"/>
      <c r="D4" s="318"/>
      <c r="E4" s="318"/>
      <c r="F4" s="318"/>
      <c r="G4" s="318"/>
      <c r="H4" s="318"/>
      <c r="I4" s="318"/>
      <c r="J4" s="318"/>
      <c r="K4" s="318"/>
      <c r="L4" s="805"/>
    </row>
    <row r="5" spans="1:12" ht="15" customHeight="1">
      <c r="A5" s="802"/>
      <c r="B5" s="318"/>
      <c r="C5" s="318"/>
      <c r="D5" s="318"/>
      <c r="E5" s="318"/>
      <c r="F5" s="318"/>
      <c r="G5" s="318"/>
      <c r="H5" s="318"/>
      <c r="I5" s="318"/>
      <c r="J5" s="318"/>
      <c r="K5" s="318"/>
      <c r="L5" s="805"/>
    </row>
    <row r="6" spans="1:12" ht="15" customHeight="1">
      <c r="A6" s="802"/>
      <c r="B6" s="318"/>
      <c r="C6" s="318"/>
      <c r="D6" s="318"/>
      <c r="E6" s="318"/>
      <c r="F6" s="318"/>
      <c r="G6" s="318"/>
      <c r="H6" s="318"/>
      <c r="I6" s="318"/>
      <c r="J6" s="318"/>
      <c r="K6" s="318"/>
      <c r="L6" s="805"/>
    </row>
    <row r="7" spans="1:12" ht="15" customHeight="1">
      <c r="A7" s="802"/>
      <c r="B7" s="318"/>
      <c r="C7" s="318"/>
      <c r="D7" s="318" t="s">
        <v>309</v>
      </c>
      <c r="E7" s="318"/>
      <c r="F7" s="318"/>
      <c r="G7" s="318"/>
      <c r="H7" s="318"/>
      <c r="I7" s="318"/>
      <c r="J7" s="318"/>
      <c r="K7" s="318"/>
      <c r="L7" s="805"/>
    </row>
    <row r="8" spans="1:12" ht="15" customHeight="1">
      <c r="A8" s="802"/>
      <c r="B8" s="318"/>
      <c r="C8" s="318"/>
      <c r="D8" s="318"/>
      <c r="E8" s="318"/>
      <c r="F8" s="318"/>
      <c r="G8" s="318"/>
      <c r="H8" s="318"/>
      <c r="I8" s="318"/>
      <c r="J8" s="318"/>
      <c r="K8" s="318"/>
      <c r="L8" s="805"/>
    </row>
    <row r="9" spans="1:12" ht="15" customHeight="1">
      <c r="A9" s="802"/>
      <c r="B9" s="318"/>
      <c r="C9" s="318"/>
      <c r="D9" s="318" t="s">
        <v>204</v>
      </c>
      <c r="E9" s="318"/>
      <c r="F9" s="318"/>
      <c r="G9" s="318"/>
      <c r="H9" s="318"/>
      <c r="I9" s="318"/>
      <c r="J9" s="318"/>
      <c r="K9" s="318"/>
      <c r="L9" s="805"/>
    </row>
    <row r="10" spans="1:12" ht="15" customHeight="1">
      <c r="A10" s="802"/>
      <c r="B10" s="318"/>
      <c r="C10" s="318"/>
      <c r="D10" s="318"/>
      <c r="E10" s="318"/>
      <c r="F10" s="318"/>
      <c r="G10" s="318"/>
      <c r="H10" s="318"/>
      <c r="I10" s="318"/>
      <c r="J10" s="318"/>
      <c r="K10" s="318"/>
      <c r="L10" s="805"/>
    </row>
    <row r="11" spans="1:12" ht="15" customHeight="1">
      <c r="A11" s="802"/>
      <c r="B11" s="318"/>
      <c r="C11" s="318"/>
      <c r="D11" s="318"/>
      <c r="E11" s="318"/>
      <c r="F11" s="318"/>
      <c r="G11" s="318"/>
      <c r="H11" s="318"/>
      <c r="I11" s="318"/>
      <c r="J11" s="318"/>
      <c r="K11" s="318"/>
      <c r="L11" s="805"/>
    </row>
    <row r="12" spans="1:12" ht="15" customHeight="1">
      <c r="A12" s="802"/>
      <c r="B12" s="318"/>
      <c r="C12" s="318"/>
      <c r="D12" s="318"/>
      <c r="E12" s="318"/>
      <c r="F12" s="318"/>
      <c r="G12" s="318"/>
      <c r="H12" s="318"/>
      <c r="I12" s="318"/>
      <c r="J12" s="318"/>
      <c r="K12" s="318"/>
      <c r="L12" s="805"/>
    </row>
    <row r="13" spans="1:12" ht="15" customHeight="1">
      <c r="A13" s="802"/>
      <c r="B13" s="318"/>
      <c r="C13" s="318"/>
      <c r="D13" s="318"/>
      <c r="E13" s="318"/>
      <c r="F13" s="318"/>
      <c r="G13" s="318"/>
      <c r="H13" s="318"/>
      <c r="I13" s="318"/>
      <c r="J13" s="318"/>
      <c r="K13" s="318"/>
      <c r="L13" s="805"/>
    </row>
    <row r="14" spans="1:12" ht="15" customHeight="1">
      <c r="A14" s="802"/>
      <c r="B14" s="318"/>
      <c r="C14" s="318"/>
      <c r="D14" s="318"/>
      <c r="E14" s="318"/>
      <c r="F14" s="318"/>
      <c r="G14" s="318"/>
      <c r="H14" s="318"/>
      <c r="I14" s="318"/>
      <c r="J14" s="318"/>
      <c r="K14" s="318"/>
      <c r="L14" s="805"/>
    </row>
    <row r="15" spans="1:12" ht="15" customHeight="1">
      <c r="A15" s="802"/>
      <c r="B15" s="318"/>
      <c r="C15" s="318"/>
      <c r="D15" s="318"/>
      <c r="E15" s="318"/>
      <c r="F15" s="318"/>
      <c r="G15" s="318"/>
      <c r="H15" s="318"/>
      <c r="I15" s="318"/>
      <c r="J15" s="318"/>
      <c r="K15" s="318"/>
      <c r="L15" s="805"/>
    </row>
    <row r="16" spans="1:12" ht="15" customHeight="1">
      <c r="A16" s="802"/>
      <c r="B16" s="318"/>
      <c r="C16" s="318"/>
      <c r="D16" s="318"/>
      <c r="E16" s="318"/>
      <c r="F16" s="318"/>
      <c r="G16" s="318"/>
      <c r="H16" s="318"/>
      <c r="I16" s="318"/>
      <c r="J16" s="318"/>
      <c r="K16" s="318"/>
      <c r="L16" s="805"/>
    </row>
    <row r="17" spans="1:12" ht="15" customHeight="1">
      <c r="A17" s="802"/>
      <c r="B17" s="318"/>
      <c r="C17" s="318"/>
      <c r="D17" s="318"/>
      <c r="E17" s="318"/>
      <c r="F17" s="318"/>
      <c r="G17" s="318"/>
      <c r="H17" s="318"/>
      <c r="I17" s="318"/>
      <c r="J17" s="318"/>
      <c r="K17" s="318"/>
      <c r="L17" s="805"/>
    </row>
    <row r="18" spans="1:12" ht="15" customHeight="1">
      <c r="A18" s="802"/>
      <c r="B18" s="318"/>
      <c r="C18" s="318"/>
      <c r="D18" s="318"/>
      <c r="E18" s="318"/>
      <c r="F18" s="318"/>
      <c r="G18" s="318"/>
      <c r="H18" s="318"/>
      <c r="I18" s="318"/>
      <c r="J18" s="318"/>
      <c r="K18" s="318"/>
      <c r="L18" s="805"/>
    </row>
    <row r="19" spans="1:12" ht="15" customHeight="1">
      <c r="A19" s="802"/>
      <c r="B19" s="318"/>
      <c r="C19" s="318"/>
      <c r="D19" s="318"/>
      <c r="E19" s="318"/>
      <c r="F19" s="318"/>
      <c r="G19" s="318"/>
      <c r="H19" s="318"/>
      <c r="I19" s="318"/>
      <c r="J19" s="318"/>
      <c r="K19" s="318"/>
      <c r="L19" s="805"/>
    </row>
    <row r="20" spans="1:12" ht="15" customHeight="1">
      <c r="A20" s="802"/>
      <c r="B20" s="318"/>
      <c r="C20" s="318"/>
      <c r="D20" s="318"/>
      <c r="E20" s="318"/>
      <c r="F20" s="318"/>
      <c r="G20" s="318"/>
      <c r="H20" s="318"/>
      <c r="I20" s="318"/>
      <c r="J20" s="318"/>
      <c r="K20" s="318"/>
      <c r="L20" s="805"/>
    </row>
    <row r="21" spans="1:12" ht="15" customHeight="1">
      <c r="A21" s="802"/>
      <c r="B21" s="318"/>
      <c r="C21" s="318"/>
      <c r="D21" s="318"/>
      <c r="E21" s="318"/>
      <c r="F21" s="318"/>
      <c r="G21" s="318"/>
      <c r="H21" s="318"/>
      <c r="I21" s="318"/>
      <c r="J21" s="318"/>
      <c r="K21" s="318"/>
      <c r="L21" s="805"/>
    </row>
    <row r="22" spans="1:12" ht="15" customHeight="1">
      <c r="A22" s="802"/>
      <c r="B22" s="318"/>
      <c r="C22" s="318"/>
      <c r="D22" s="318"/>
      <c r="E22" s="318"/>
      <c r="F22" s="318"/>
      <c r="G22" s="318"/>
      <c r="H22" s="318"/>
      <c r="I22" s="318"/>
      <c r="J22" s="318"/>
      <c r="K22" s="318"/>
      <c r="L22" s="805"/>
    </row>
    <row r="23" spans="1:12" ht="15" customHeight="1">
      <c r="A23" s="802"/>
      <c r="B23" s="318"/>
      <c r="C23" s="318"/>
      <c r="D23" s="318"/>
      <c r="E23" s="318"/>
      <c r="F23" s="318"/>
      <c r="G23" s="318"/>
      <c r="H23" s="318"/>
      <c r="I23" s="318"/>
      <c r="J23" s="318"/>
      <c r="K23" s="318"/>
      <c r="L23" s="805"/>
    </row>
    <row r="24" spans="1:12" ht="19.5" customHeight="1">
      <c r="A24" s="806" t="str">
        <f>Tariffs!B75</f>
        <v>SmartCalc… Most Reliable, Simple, Fast and Efficient - Lingachari Oriental</v>
      </c>
      <c r="B24" s="806"/>
      <c r="C24" s="806"/>
      <c r="D24" s="806"/>
      <c r="E24" s="806"/>
      <c r="F24" s="806"/>
      <c r="G24" s="806"/>
      <c r="H24" s="806"/>
      <c r="I24" s="806"/>
      <c r="J24" s="806"/>
      <c r="K24" s="806"/>
      <c r="L24" s="805"/>
    </row>
    <row r="25" ht="15" hidden="1"/>
    <row r="26" ht="15" hidden="1"/>
    <row r="27" ht="15" hidden="1"/>
    <row r="28" ht="15" hidden="1"/>
    <row r="29" ht="15" hidden="1"/>
    <row r="30" ht="15" hidden="1"/>
    <row r="31" ht="15" hidden="1"/>
    <row r="32" ht="15" hidden="1"/>
    <row r="33" ht="15" hidden="1"/>
    <row r="34" ht="15" hidden="1"/>
    <row r="35" ht="15" hidden="1"/>
    <row r="36" ht="15" hidden="1"/>
    <row r="37" ht="15" hidden="1"/>
  </sheetData>
  <sheetProtection password="CE28" sheet="1" selectLockedCells="1"/>
  <mergeCells count="5">
    <mergeCell ref="A1:A23"/>
    <mergeCell ref="B1:H1"/>
    <mergeCell ref="I1:L1"/>
    <mergeCell ref="L2:L24"/>
    <mergeCell ref="A24:K24"/>
  </mergeCells>
  <printOptions/>
  <pageMargins left="0.7" right="0.7" top="0.75" bottom="0.75" header="0.3" footer="0.3"/>
  <pageSetup horizontalDpi="300" verticalDpi="300" orientation="portrait" r:id="rId1"/>
</worksheet>
</file>

<file path=xl/worksheets/sheet12.xml><?xml version="1.0" encoding="utf-8"?>
<worksheet xmlns="http://schemas.openxmlformats.org/spreadsheetml/2006/main" xmlns:r="http://schemas.openxmlformats.org/officeDocument/2006/relationships">
  <sheetPr>
    <tabColor theme="0"/>
    <pageSetUpPr fitToPage="1"/>
  </sheetPr>
  <dimension ref="A2:E8"/>
  <sheetViews>
    <sheetView showGridLines="0" showRowColHeaders="0" zoomScale="130" zoomScaleNormal="130" zoomScalePageLayoutView="0" workbookViewId="0" topLeftCell="A1">
      <selection activeCell="I4" sqref="I4"/>
    </sheetView>
  </sheetViews>
  <sheetFormatPr defaultColWidth="0" defaultRowHeight="0" customHeight="1" zeroHeight="1"/>
  <cols>
    <col min="1" max="1" width="2.00390625" style="243" customWidth="1"/>
    <col min="2" max="2" width="3.57421875" style="243" customWidth="1"/>
    <col min="3" max="3" width="88.00390625" style="243" customWidth="1"/>
    <col min="4" max="4" width="3.57421875" style="243" customWidth="1"/>
    <col min="5" max="5" width="2.00390625" style="243" customWidth="1"/>
    <col min="6" max="255" width="9.140625" style="2" hidden="1" customWidth="1"/>
    <col min="256" max="16384" width="0.5625" style="2" hidden="1" customWidth="1"/>
  </cols>
  <sheetData>
    <row r="1" ht="8.25" customHeight="1" thickBot="1"/>
    <row r="2" spans="1:5" s="3" customFormat="1" ht="24" customHeight="1" thickTop="1">
      <c r="A2" s="244"/>
      <c r="B2" s="807" t="s">
        <v>192</v>
      </c>
      <c r="C2" s="808"/>
      <c r="D2" s="809"/>
      <c r="E2" s="243"/>
    </row>
    <row r="3" spans="1:5" s="3" customFormat="1" ht="15.75" customHeight="1">
      <c r="A3" s="244"/>
      <c r="B3" s="812"/>
      <c r="C3" s="245"/>
      <c r="D3" s="810"/>
      <c r="E3" s="243"/>
    </row>
    <row r="4" spans="1:5" s="3" customFormat="1" ht="63" customHeight="1">
      <c r="A4" s="244"/>
      <c r="B4" s="813"/>
      <c r="C4" s="415" t="s">
        <v>193</v>
      </c>
      <c r="D4" s="810"/>
      <c r="E4" s="243"/>
    </row>
    <row r="5" spans="1:5" s="3" customFormat="1" ht="63" customHeight="1">
      <c r="A5" s="244"/>
      <c r="B5" s="813"/>
      <c r="C5" s="416" t="s">
        <v>194</v>
      </c>
      <c r="D5" s="810"/>
      <c r="E5" s="243"/>
    </row>
    <row r="6" spans="1:5" s="247" customFormat="1" ht="63" customHeight="1">
      <c r="A6" s="246"/>
      <c r="B6" s="813"/>
      <c r="C6" s="417" t="s">
        <v>416</v>
      </c>
      <c r="D6" s="810"/>
      <c r="E6" s="243"/>
    </row>
    <row r="7" spans="1:5" s="3" customFormat="1" ht="15.75" customHeight="1">
      <c r="A7" s="244"/>
      <c r="B7" s="813"/>
      <c r="C7" s="245"/>
      <c r="D7" s="811"/>
      <c r="E7" s="243"/>
    </row>
    <row r="8" spans="1:5" s="3" customFormat="1" ht="24" customHeight="1" thickBot="1">
      <c r="A8" s="244"/>
      <c r="B8" s="814"/>
      <c r="C8" s="815" t="s">
        <v>195</v>
      </c>
      <c r="D8" s="816"/>
      <c r="E8" s="243"/>
    </row>
    <row r="9" ht="8.25" customHeight="1" thickTop="1"/>
    <row r="10" ht="15" customHeight="1" hidden="1"/>
  </sheetData>
  <sheetProtection password="CE28" sheet="1" objects="1" scenarios="1" selectLockedCells="1" selectUnlockedCells="1"/>
  <mergeCells count="4">
    <mergeCell ref="B2:C2"/>
    <mergeCell ref="D2:D7"/>
    <mergeCell ref="B3:B8"/>
    <mergeCell ref="C8:D8"/>
  </mergeCells>
  <printOptions horizontalCentered="1"/>
  <pageMargins left="0.5" right="0.5" top="0.5" bottom="0.5" header="0.511805555555556" footer="0.511805555555556"/>
  <pageSetup fitToHeight="1" fitToWidth="1" horizontalDpi="300" verticalDpi="300" orientation="landscape" paperSize="9" r:id="rId1"/>
</worksheet>
</file>

<file path=xl/worksheets/sheet13.xml><?xml version="1.0" encoding="utf-8"?>
<worksheet xmlns="http://schemas.openxmlformats.org/spreadsheetml/2006/main" xmlns:r="http://schemas.openxmlformats.org/officeDocument/2006/relationships">
  <sheetPr>
    <tabColor rgb="FF00B050"/>
    <pageSetUpPr fitToPage="1"/>
  </sheetPr>
  <dimension ref="A1:G16"/>
  <sheetViews>
    <sheetView showGridLines="0" zoomScale="145" zoomScaleNormal="145" zoomScalePageLayoutView="0" workbookViewId="0" topLeftCell="A1">
      <selection activeCell="E5" sqref="E5"/>
    </sheetView>
  </sheetViews>
  <sheetFormatPr defaultColWidth="0" defaultRowHeight="15" customHeight="1" zeroHeight="1"/>
  <cols>
    <col min="1" max="1" width="1.7109375" style="78" customWidth="1"/>
    <col min="2" max="2" width="2.57421875" style="78" customWidth="1"/>
    <col min="3" max="3" width="19.57421875" style="78" customWidth="1"/>
    <col min="4" max="4" width="1.7109375" style="78" customWidth="1"/>
    <col min="5" max="5" width="38.140625" style="78" customWidth="1"/>
    <col min="6" max="6" width="2.7109375" style="273" customWidth="1"/>
    <col min="7" max="7" width="1.7109375" style="2" customWidth="1"/>
    <col min="8" max="16384" width="9.140625" style="2" hidden="1" customWidth="1"/>
  </cols>
  <sheetData>
    <row r="1" spans="1:7" ht="9" customHeight="1">
      <c r="A1" s="248"/>
      <c r="B1" s="248"/>
      <c r="C1" s="248"/>
      <c r="D1" s="248"/>
      <c r="E1" s="248"/>
      <c r="F1" s="249"/>
      <c r="G1" s="248"/>
    </row>
    <row r="2" spans="1:7" ht="13.5" customHeight="1">
      <c r="A2" s="248"/>
      <c r="B2" s="250"/>
      <c r="C2" s="817" t="s">
        <v>196</v>
      </c>
      <c r="D2" s="817"/>
      <c r="E2" s="817"/>
      <c r="F2" s="817"/>
      <c r="G2" s="248"/>
    </row>
    <row r="3" spans="1:7" s="254" customFormat="1" ht="2.25" customHeight="1">
      <c r="A3" s="251"/>
      <c r="B3" s="252"/>
      <c r="C3" s="229"/>
      <c r="D3" s="229"/>
      <c r="E3" s="229"/>
      <c r="F3" s="229"/>
      <c r="G3" s="253"/>
    </row>
    <row r="4" spans="1:7" s="254" customFormat="1" ht="20.25" customHeight="1">
      <c r="A4" s="255"/>
      <c r="B4" s="256"/>
      <c r="C4" s="257" t="s">
        <v>197</v>
      </c>
      <c r="D4" s="258" t="s">
        <v>106</v>
      </c>
      <c r="E4" s="259" t="s">
        <v>198</v>
      </c>
      <c r="F4" s="260" t="str">
        <f>E5</f>
        <v>DO-VI, Begumpet, Hyderabad - 500 016</v>
      </c>
      <c r="G4" s="253"/>
    </row>
    <row r="5" spans="1:7" s="254" customFormat="1" ht="20.25" customHeight="1">
      <c r="A5" s="255"/>
      <c r="B5" s="256"/>
      <c r="C5" s="261" t="s">
        <v>199</v>
      </c>
      <c r="D5" s="262" t="s">
        <v>106</v>
      </c>
      <c r="E5" s="263" t="s">
        <v>414</v>
      </c>
      <c r="F5" s="260" t="str">
        <f>E6</f>
        <v>G. Lingachari</v>
      </c>
      <c r="G5" s="253"/>
    </row>
    <row r="6" spans="1:7" s="254" customFormat="1" ht="20.25" customHeight="1">
      <c r="A6" s="255"/>
      <c r="B6" s="256"/>
      <c r="C6" s="257" t="s">
        <v>200</v>
      </c>
      <c r="D6" s="258" t="s">
        <v>106</v>
      </c>
      <c r="E6" s="264" t="s">
        <v>201</v>
      </c>
      <c r="F6" s="260" t="str">
        <f>PROPER(E6)</f>
        <v>G. Lingachari</v>
      </c>
      <c r="G6" s="253"/>
    </row>
    <row r="7" spans="1:7" s="254" customFormat="1" ht="20.25" customHeight="1">
      <c r="A7" s="255"/>
      <c r="B7" s="256"/>
      <c r="C7" s="261" t="s">
        <v>202</v>
      </c>
      <c r="D7" s="262" t="s">
        <v>106</v>
      </c>
      <c r="E7" s="265" t="s">
        <v>415</v>
      </c>
      <c r="F7" s="266" t="str">
        <f>E7</f>
        <v>AO (Mktg), DO-VI</v>
      </c>
      <c r="G7" s="253"/>
    </row>
    <row r="8" spans="1:7" s="254" customFormat="1" ht="20.25" customHeight="1">
      <c r="A8" s="255"/>
      <c r="B8" s="256"/>
      <c r="C8" s="257" t="s">
        <v>203</v>
      </c>
      <c r="D8" s="258" t="s">
        <v>106</v>
      </c>
      <c r="E8" s="264" t="s">
        <v>204</v>
      </c>
      <c r="F8" s="266" t="str">
        <f>E8</f>
        <v>98856 32211</v>
      </c>
      <c r="G8" s="253"/>
    </row>
    <row r="9" spans="1:7" s="254" customFormat="1" ht="20.25" customHeight="1">
      <c r="A9" s="255"/>
      <c r="B9" s="256"/>
      <c r="C9" s="261" t="s">
        <v>205</v>
      </c>
      <c r="D9" s="262" t="s">
        <v>106</v>
      </c>
      <c r="E9" s="265" t="s">
        <v>424</v>
      </c>
      <c r="F9" s="266" t="str">
        <f>E9</f>
        <v>040 2340 3147</v>
      </c>
      <c r="G9" s="253"/>
    </row>
    <row r="10" spans="1:7" s="254" customFormat="1" ht="20.25" customHeight="1">
      <c r="A10" s="255"/>
      <c r="B10" s="256"/>
      <c r="C10" s="257" t="s">
        <v>206</v>
      </c>
      <c r="D10" s="258" t="s">
        <v>106</v>
      </c>
      <c r="E10" s="267" t="s">
        <v>207</v>
      </c>
      <c r="F10" s="268" t="str">
        <f>LOWER(E10)</f>
        <v>lingachari@orientalinsurance.co.in</v>
      </c>
      <c r="G10" s="253"/>
    </row>
    <row r="11" spans="1:7" s="254" customFormat="1" ht="20.25" customHeight="1">
      <c r="A11" s="255"/>
      <c r="B11" s="256"/>
      <c r="C11" s="261" t="s">
        <v>208</v>
      </c>
      <c r="D11" s="262" t="s">
        <v>106</v>
      </c>
      <c r="E11" s="265" t="s">
        <v>412</v>
      </c>
      <c r="F11" s="268"/>
      <c r="G11" s="253"/>
    </row>
    <row r="12" spans="1:7" s="254" customFormat="1" ht="20.25" customHeight="1">
      <c r="A12" s="255"/>
      <c r="B12" s="256"/>
      <c r="C12" s="257" t="s">
        <v>376</v>
      </c>
      <c r="D12" s="258" t="s">
        <v>106</v>
      </c>
      <c r="E12" s="269">
        <v>9</v>
      </c>
      <c r="F12" s="268" t="str">
        <f>CONCATENATE("Please call on us for more details and policy purchase immediately.",CHAR(10),CHAR(10),"Thanking you and assuring you of our best services at all times.",CHAR(10),CHAR(10),CHAR(10),F6,CHAR(10),F7,CHAR(10),"Mob: ",F8,CHAR(10))</f>
        <v>Please call on us for more details and policy purchase immediately.
Thanking you and assuring you of our best services at all times.
G. Lingachari
AO (Mktg), DO-VI
Mob: 98856 32211
</v>
      </c>
      <c r="G12" s="253"/>
    </row>
    <row r="13" spans="1:7" s="254" customFormat="1" ht="20.25" customHeight="1">
      <c r="A13" s="255"/>
      <c r="B13" s="256"/>
      <c r="C13" s="261" t="s">
        <v>377</v>
      </c>
      <c r="D13" s="262" t="s">
        <v>106</v>
      </c>
      <c r="E13" s="270">
        <v>9</v>
      </c>
      <c r="F13" s="268"/>
      <c r="G13" s="253"/>
    </row>
    <row r="14" spans="1:7" s="254" customFormat="1" ht="3" customHeight="1">
      <c r="A14" s="251"/>
      <c r="B14" s="229"/>
      <c r="C14" s="229"/>
      <c r="D14" s="229"/>
      <c r="E14" s="229"/>
      <c r="F14" s="268"/>
      <c r="G14" s="253"/>
    </row>
    <row r="15" spans="1:7" s="254" customFormat="1" ht="13.5" customHeight="1">
      <c r="A15" s="253"/>
      <c r="B15" s="818" t="s">
        <v>413</v>
      </c>
      <c r="C15" s="818"/>
      <c r="D15" s="818"/>
      <c r="E15" s="818"/>
      <c r="F15" s="271">
        <f>SUM(E12:E13)</f>
        <v>18</v>
      </c>
      <c r="G15" s="253"/>
    </row>
    <row r="16" spans="1:2" ht="15" hidden="1">
      <c r="A16" s="272" t="str">
        <f>CONCATENATE(F6,", ",F7,", ",F8,", ",F9,", ",F10)</f>
        <v>G. Lingachari, AO (Mktg), DO-VI, 98856 32211, 040 2340 3147, lingachari@orientalinsurance.co.in</v>
      </c>
      <c r="B16" s="272"/>
    </row>
  </sheetData>
  <sheetProtection selectLockedCells="1"/>
  <mergeCells count="2">
    <mergeCell ref="C2:F2"/>
    <mergeCell ref="B15:E15"/>
  </mergeCells>
  <dataValidations count="1">
    <dataValidation type="list" allowBlank="1" showInputMessage="1" showErrorMessage="1" sqref="E11">
      <formula1>"2018-19,2017-18"</formula1>
    </dataValidation>
  </dataValidations>
  <hyperlinks>
    <hyperlink ref="E10" r:id="rId1" display="lingachari@orientalinsurance.co.in"/>
  </hyperlinks>
  <printOptions horizontalCentered="1"/>
  <pageMargins left="0.7" right="0.7" top="0.75" bottom="0.75" header="0.5118055555555555" footer="0.5118055555555555"/>
  <pageSetup fitToHeight="1" fitToWidth="1" horizontalDpi="300" verticalDpi="300" orientation="portrait" paperSize="9" r:id="rId2"/>
</worksheet>
</file>

<file path=xl/worksheets/sheet2.xml><?xml version="1.0" encoding="utf-8"?>
<worksheet xmlns="http://schemas.openxmlformats.org/spreadsheetml/2006/main" xmlns:r="http://schemas.openxmlformats.org/officeDocument/2006/relationships">
  <sheetPr>
    <tabColor theme="0"/>
    <pageSetUpPr fitToPage="1"/>
  </sheetPr>
  <dimension ref="A1:AM76"/>
  <sheetViews>
    <sheetView showGridLines="0" showRowColHeaders="0" zoomScale="115" zoomScaleNormal="115" zoomScalePageLayoutView="0" workbookViewId="0" topLeftCell="A1">
      <selection activeCell="C7" sqref="C7:E7"/>
    </sheetView>
  </sheetViews>
  <sheetFormatPr defaultColWidth="0" defaultRowHeight="15" zeroHeight="1"/>
  <cols>
    <col min="1" max="1" width="2.7109375" style="37" customWidth="1"/>
    <col min="2" max="2" width="1.28515625" style="33" customWidth="1"/>
    <col min="3" max="3" width="3.28125" style="33" customWidth="1"/>
    <col min="4" max="4" width="0.5625" style="33" customWidth="1"/>
    <col min="5" max="5" width="34.00390625" style="33" customWidth="1"/>
    <col min="6" max="6" width="11.57421875" style="34" customWidth="1"/>
    <col min="7" max="9" width="11.57421875" style="33" customWidth="1"/>
    <col min="10" max="10" width="15.00390625" style="33" customWidth="1"/>
    <col min="11" max="11" width="0.5625" style="33" customWidth="1"/>
    <col min="12" max="12" width="3.28125" style="35" customWidth="1"/>
    <col min="13" max="13" width="1.28515625" style="36" customWidth="1"/>
    <col min="14" max="14" width="2.7109375" style="37" customWidth="1"/>
    <col min="15" max="15" width="1.28515625" style="33" customWidth="1"/>
    <col min="16" max="16" width="3.28125" style="33" customWidth="1"/>
    <col min="17" max="17" width="0.5625" style="33" customWidth="1"/>
    <col min="18" max="18" width="34.00390625" style="33" customWidth="1"/>
    <col min="19" max="19" width="11.57421875" style="34" customWidth="1"/>
    <col min="20" max="22" width="11.57421875" style="33" customWidth="1"/>
    <col min="23" max="23" width="15.00390625" style="33" customWidth="1"/>
    <col min="24" max="24" width="0.5625" style="33" customWidth="1"/>
    <col min="25" max="25" width="3.28125" style="35" customWidth="1"/>
    <col min="26" max="26" width="1.28515625" style="36" customWidth="1"/>
    <col min="27" max="27" width="2.7109375" style="19" customWidth="1"/>
    <col min="28" max="28" width="1.28515625" style="33" customWidth="1"/>
    <col min="29" max="29" width="3.28125" style="33" customWidth="1"/>
    <col min="30" max="30" width="0.5625" style="33" customWidth="1"/>
    <col min="31" max="31" width="36.7109375" style="33" customWidth="1"/>
    <col min="32" max="35" width="14.7109375" style="38" customWidth="1"/>
    <col min="36" max="36" width="0.5625" style="33" customWidth="1"/>
    <col min="37" max="37" width="3.28125" style="35" customWidth="1"/>
    <col min="38" max="38" width="1.28515625" style="36" customWidth="1"/>
    <col min="39" max="39" width="2.7109375" style="19" customWidth="1"/>
    <col min="40" max="46" width="0" style="19" hidden="1" customWidth="1"/>
    <col min="47" max="16384" width="9.140625" style="19" hidden="1" customWidth="1"/>
  </cols>
  <sheetData>
    <row r="1" spans="1:39" ht="13.5" customHeight="1" thickBot="1">
      <c r="A1" s="468"/>
      <c r="B1" s="469"/>
      <c r="C1" s="469"/>
      <c r="D1" s="469"/>
      <c r="E1" s="469"/>
      <c r="F1" s="470"/>
      <c r="G1" s="469"/>
      <c r="H1" s="469"/>
      <c r="I1" s="469"/>
      <c r="J1" s="469"/>
      <c r="K1" s="469"/>
      <c r="L1" s="471"/>
      <c r="M1" s="472"/>
      <c r="N1" s="468"/>
      <c r="O1" s="469"/>
      <c r="P1" s="469"/>
      <c r="Q1" s="469"/>
      <c r="R1" s="469"/>
      <c r="S1" s="470"/>
      <c r="T1" s="469"/>
      <c r="U1" s="469"/>
      <c r="V1" s="469"/>
      <c r="W1" s="469"/>
      <c r="X1" s="469"/>
      <c r="Y1" s="471"/>
      <c r="Z1" s="472"/>
      <c r="AA1" s="468"/>
      <c r="AB1" s="469"/>
      <c r="AC1" s="469"/>
      <c r="AD1" s="469"/>
      <c r="AE1" s="469"/>
      <c r="AF1" s="473"/>
      <c r="AG1" s="473"/>
      <c r="AH1" s="473"/>
      <c r="AI1" s="473"/>
      <c r="AJ1" s="469"/>
      <c r="AK1" s="471"/>
      <c r="AL1" s="472"/>
      <c r="AM1" s="468"/>
    </row>
    <row r="2" spans="1:39" ht="6.75" customHeight="1" thickTop="1">
      <c r="A2" s="468"/>
      <c r="B2" s="421"/>
      <c r="C2" s="422"/>
      <c r="D2" s="422"/>
      <c r="E2" s="422"/>
      <c r="F2" s="422"/>
      <c r="G2" s="422"/>
      <c r="H2" s="422"/>
      <c r="I2" s="422"/>
      <c r="J2" s="422"/>
      <c r="K2" s="422"/>
      <c r="L2" s="422"/>
      <c r="M2" s="423"/>
      <c r="N2" s="468"/>
      <c r="O2" s="421"/>
      <c r="P2" s="422"/>
      <c r="Q2" s="422"/>
      <c r="R2" s="422"/>
      <c r="S2" s="422"/>
      <c r="T2" s="422"/>
      <c r="U2" s="422"/>
      <c r="V2" s="422"/>
      <c r="W2" s="422"/>
      <c r="X2" s="422"/>
      <c r="Y2" s="422"/>
      <c r="Z2" s="423"/>
      <c r="AA2" s="468"/>
      <c r="AB2" s="421"/>
      <c r="AC2" s="422"/>
      <c r="AD2" s="422"/>
      <c r="AE2" s="422"/>
      <c r="AF2" s="431"/>
      <c r="AG2" s="431"/>
      <c r="AH2" s="431"/>
      <c r="AI2" s="431"/>
      <c r="AJ2" s="422"/>
      <c r="AK2" s="422"/>
      <c r="AL2" s="423"/>
      <c r="AM2" s="468"/>
    </row>
    <row r="3" spans="1:39" ht="27">
      <c r="A3" s="468"/>
      <c r="B3" s="424"/>
      <c r="C3" s="537" t="s">
        <v>9</v>
      </c>
      <c r="D3" s="537"/>
      <c r="E3" s="537"/>
      <c r="F3" s="537"/>
      <c r="G3" s="537"/>
      <c r="H3" s="537"/>
      <c r="I3" s="537"/>
      <c r="J3" s="537"/>
      <c r="K3" s="537"/>
      <c r="L3" s="537"/>
      <c r="M3" s="425"/>
      <c r="N3" s="468"/>
      <c r="O3" s="424"/>
      <c r="P3" s="537" t="str">
        <f>C3</f>
        <v>THE ORIENTAL INSURANCE COMPANY LIMITED</v>
      </c>
      <c r="Q3" s="537"/>
      <c r="R3" s="537"/>
      <c r="S3" s="537"/>
      <c r="T3" s="537"/>
      <c r="U3" s="537"/>
      <c r="V3" s="537"/>
      <c r="W3" s="537"/>
      <c r="X3" s="537"/>
      <c r="Y3" s="537"/>
      <c r="Z3" s="425"/>
      <c r="AA3" s="468"/>
      <c r="AB3" s="424"/>
      <c r="AC3" s="538" t="str">
        <f>P3</f>
        <v>THE ORIENTAL INSURANCE COMPANY LIMITED</v>
      </c>
      <c r="AD3" s="538"/>
      <c r="AE3" s="538"/>
      <c r="AF3" s="538"/>
      <c r="AG3" s="538"/>
      <c r="AH3" s="538"/>
      <c r="AI3" s="538"/>
      <c r="AJ3" s="538"/>
      <c r="AK3" s="538"/>
      <c r="AL3" s="425"/>
      <c r="AM3" s="468"/>
    </row>
    <row r="4" spans="1:39" ht="27" customHeight="1">
      <c r="A4" s="468"/>
      <c r="B4" s="424"/>
      <c r="C4" s="539" t="s">
        <v>426</v>
      </c>
      <c r="D4" s="539"/>
      <c r="E4" s="539"/>
      <c r="F4" s="539"/>
      <c r="G4" s="539"/>
      <c r="H4" s="539"/>
      <c r="I4" s="539"/>
      <c r="J4" s="539"/>
      <c r="K4" s="539"/>
      <c r="L4" s="539"/>
      <c r="M4" s="425"/>
      <c r="N4" s="468"/>
      <c r="O4" s="424"/>
      <c r="P4" s="539" t="str">
        <f>C4</f>
        <v># DO - VI, Snehalatha, Begumpet, Hyderabad - 500 016.</v>
      </c>
      <c r="Q4" s="539"/>
      <c r="R4" s="539"/>
      <c r="S4" s="539"/>
      <c r="T4" s="539"/>
      <c r="U4" s="539"/>
      <c r="V4" s="539"/>
      <c r="W4" s="539"/>
      <c r="X4" s="539"/>
      <c r="Y4" s="539"/>
      <c r="Z4" s="425"/>
      <c r="AA4" s="468"/>
      <c r="AB4" s="424"/>
      <c r="AC4" s="539" t="str">
        <f>P4</f>
        <v># DO - VI, Snehalatha, Begumpet, Hyderabad - 500 016.</v>
      </c>
      <c r="AD4" s="539"/>
      <c r="AE4" s="539"/>
      <c r="AF4" s="539"/>
      <c r="AG4" s="539"/>
      <c r="AH4" s="539"/>
      <c r="AI4" s="539"/>
      <c r="AJ4" s="539"/>
      <c r="AK4" s="539"/>
      <c r="AL4" s="425"/>
      <c r="AM4" s="468"/>
    </row>
    <row r="5" spans="1:39" ht="22.5" customHeight="1">
      <c r="A5" s="468"/>
      <c r="B5" s="534" t="s">
        <v>422</v>
      </c>
      <c r="C5" s="535"/>
      <c r="D5" s="535"/>
      <c r="E5" s="535"/>
      <c r="F5" s="535"/>
      <c r="G5" s="535"/>
      <c r="H5" s="535"/>
      <c r="I5" s="535"/>
      <c r="J5" s="535"/>
      <c r="K5" s="535"/>
      <c r="L5" s="535"/>
      <c r="M5" s="536"/>
      <c r="N5" s="468"/>
      <c r="O5" s="534" t="s">
        <v>423</v>
      </c>
      <c r="P5" s="535"/>
      <c r="Q5" s="535"/>
      <c r="R5" s="535"/>
      <c r="S5" s="535"/>
      <c r="T5" s="535"/>
      <c r="U5" s="535"/>
      <c r="V5" s="535"/>
      <c r="W5" s="535"/>
      <c r="X5" s="535"/>
      <c r="Y5" s="535"/>
      <c r="Z5" s="536"/>
      <c r="AA5" s="468"/>
      <c r="AB5" s="534" t="s">
        <v>421</v>
      </c>
      <c r="AC5" s="535"/>
      <c r="AD5" s="535"/>
      <c r="AE5" s="535"/>
      <c r="AF5" s="535"/>
      <c r="AG5" s="535"/>
      <c r="AH5" s="535"/>
      <c r="AI5" s="535"/>
      <c r="AJ5" s="535"/>
      <c r="AK5" s="535"/>
      <c r="AL5" s="536"/>
      <c r="AM5" s="468"/>
    </row>
    <row r="6" spans="1:39" ht="5.25" customHeight="1">
      <c r="A6" s="468"/>
      <c r="B6" s="426"/>
      <c r="C6" s="20"/>
      <c r="D6" s="20"/>
      <c r="E6" s="20"/>
      <c r="F6" s="20"/>
      <c r="G6" s="20"/>
      <c r="H6" s="20"/>
      <c r="I6" s="20"/>
      <c r="J6" s="20"/>
      <c r="K6" s="20"/>
      <c r="L6" s="20"/>
      <c r="M6" s="425"/>
      <c r="N6" s="468"/>
      <c r="O6" s="426"/>
      <c r="P6" s="20"/>
      <c r="Q6" s="20"/>
      <c r="R6" s="20"/>
      <c r="S6" s="20"/>
      <c r="T6" s="20"/>
      <c r="U6" s="20"/>
      <c r="V6" s="20"/>
      <c r="W6" s="20"/>
      <c r="X6" s="20"/>
      <c r="Y6" s="20"/>
      <c r="Z6" s="425"/>
      <c r="AA6" s="468"/>
      <c r="AB6" s="426"/>
      <c r="AC6" s="20"/>
      <c r="AD6" s="20"/>
      <c r="AE6" s="20"/>
      <c r="AF6" s="21"/>
      <c r="AG6" s="21"/>
      <c r="AH6" s="21"/>
      <c r="AI6" s="21"/>
      <c r="AJ6" s="20"/>
      <c r="AK6" s="20"/>
      <c r="AL6" s="425"/>
      <c r="AM6" s="468"/>
    </row>
    <row r="7" spans="1:39" s="418" customFormat="1" ht="15.75" customHeight="1">
      <c r="A7" s="474"/>
      <c r="B7" s="427"/>
      <c r="C7" s="540" t="s">
        <v>10</v>
      </c>
      <c r="D7" s="541"/>
      <c r="E7" s="542"/>
      <c r="F7" s="419" t="s">
        <v>11</v>
      </c>
      <c r="G7" s="419" t="s">
        <v>12</v>
      </c>
      <c r="H7" s="419" t="s">
        <v>13</v>
      </c>
      <c r="I7" s="419" t="s">
        <v>14</v>
      </c>
      <c r="J7" s="543" t="s">
        <v>15</v>
      </c>
      <c r="K7" s="544"/>
      <c r="L7" s="545"/>
      <c r="M7" s="428"/>
      <c r="N7" s="474"/>
      <c r="O7" s="427"/>
      <c r="P7" s="540" t="s">
        <v>10</v>
      </c>
      <c r="Q7" s="541"/>
      <c r="R7" s="542"/>
      <c r="S7" s="419" t="s">
        <v>11</v>
      </c>
      <c r="T7" s="419" t="s">
        <v>12</v>
      </c>
      <c r="U7" s="419" t="s">
        <v>13</v>
      </c>
      <c r="V7" s="419" t="s">
        <v>14</v>
      </c>
      <c r="W7" s="543" t="s">
        <v>15</v>
      </c>
      <c r="X7" s="544"/>
      <c r="Y7" s="545"/>
      <c r="Z7" s="428"/>
      <c r="AA7" s="474"/>
      <c r="AB7" s="427"/>
      <c r="AC7" s="540" t="s">
        <v>10</v>
      </c>
      <c r="AD7" s="541"/>
      <c r="AE7" s="542"/>
      <c r="AF7" s="420" t="s">
        <v>412</v>
      </c>
      <c r="AG7" s="420" t="s">
        <v>306</v>
      </c>
      <c r="AH7" s="420" t="s">
        <v>425</v>
      </c>
      <c r="AI7" s="543" t="s">
        <v>16</v>
      </c>
      <c r="AJ7" s="544"/>
      <c r="AK7" s="545"/>
      <c r="AL7" s="428"/>
      <c r="AM7" s="474"/>
    </row>
    <row r="8" spans="1:39" ht="3.75" customHeight="1">
      <c r="A8" s="468"/>
      <c r="B8" s="426"/>
      <c r="C8" s="20"/>
      <c r="D8" s="20"/>
      <c r="E8" s="20"/>
      <c r="F8" s="20"/>
      <c r="G8" s="20"/>
      <c r="H8" s="20"/>
      <c r="I8" s="20"/>
      <c r="J8" s="20"/>
      <c r="K8" s="20"/>
      <c r="L8" s="20"/>
      <c r="M8" s="429"/>
      <c r="N8" s="468"/>
      <c r="O8" s="426"/>
      <c r="P8" s="20"/>
      <c r="Q8" s="20"/>
      <c r="R8" s="20"/>
      <c r="S8" s="20"/>
      <c r="T8" s="20"/>
      <c r="U8" s="20"/>
      <c r="V8" s="20"/>
      <c r="W8" s="20"/>
      <c r="X8" s="20"/>
      <c r="Y8" s="20"/>
      <c r="Z8" s="429"/>
      <c r="AA8" s="468"/>
      <c r="AB8" s="426"/>
      <c r="AC8" s="20"/>
      <c r="AD8" s="20"/>
      <c r="AE8" s="20"/>
      <c r="AF8" s="21"/>
      <c r="AG8" s="21"/>
      <c r="AH8" s="21"/>
      <c r="AI8" s="21"/>
      <c r="AJ8" s="20"/>
      <c r="AK8" s="20"/>
      <c r="AL8" s="429"/>
      <c r="AM8" s="468"/>
    </row>
    <row r="9" spans="1:39" ht="13.5" customHeight="1">
      <c r="A9" s="468"/>
      <c r="B9" s="426"/>
      <c r="C9" s="546" t="s">
        <v>17</v>
      </c>
      <c r="D9" s="22"/>
      <c r="E9" s="549" t="s">
        <v>18</v>
      </c>
      <c r="F9" s="439" t="s">
        <v>19</v>
      </c>
      <c r="G9" s="440">
        <v>1.708</v>
      </c>
      <c r="H9" s="440">
        <v>1.7930000000000001</v>
      </c>
      <c r="I9" s="440">
        <v>1.8359999999999999</v>
      </c>
      <c r="J9" s="550">
        <v>427</v>
      </c>
      <c r="K9" s="23"/>
      <c r="L9" s="551" t="s">
        <v>17</v>
      </c>
      <c r="M9" s="552"/>
      <c r="N9" s="468"/>
      <c r="O9" s="426"/>
      <c r="P9" s="553" t="s">
        <v>17</v>
      </c>
      <c r="Q9" s="22"/>
      <c r="R9" s="549" t="s">
        <v>18</v>
      </c>
      <c r="S9" s="439" t="s">
        <v>19</v>
      </c>
      <c r="T9" s="440">
        <v>1.708</v>
      </c>
      <c r="U9" s="440">
        <v>1.7930000000000001</v>
      </c>
      <c r="V9" s="440">
        <v>1.8359999999999999</v>
      </c>
      <c r="W9" s="550">
        <v>569</v>
      </c>
      <c r="X9" s="23"/>
      <c r="Y9" s="551" t="s">
        <v>17</v>
      </c>
      <c r="Z9" s="552"/>
      <c r="AA9" s="468"/>
      <c r="AB9" s="426"/>
      <c r="AC9" s="553" t="s">
        <v>17</v>
      </c>
      <c r="AD9" s="22"/>
      <c r="AE9" s="554" t="s">
        <v>18</v>
      </c>
      <c r="AF9" s="555">
        <f>J9</f>
        <v>427</v>
      </c>
      <c r="AG9" s="555">
        <f>W9</f>
        <v>569</v>
      </c>
      <c r="AH9" s="555">
        <f>AF9-AG9</f>
        <v>-142</v>
      </c>
      <c r="AI9" s="556">
        <f>ROUND((100/AG9*AH9/100),2)</f>
        <v>-0.25</v>
      </c>
      <c r="AJ9" s="23"/>
      <c r="AK9" s="551" t="s">
        <v>17</v>
      </c>
      <c r="AL9" s="552"/>
      <c r="AM9" s="468"/>
    </row>
    <row r="10" spans="1:39" ht="13.5" customHeight="1">
      <c r="A10" s="468"/>
      <c r="B10" s="426"/>
      <c r="C10" s="547"/>
      <c r="D10" s="22"/>
      <c r="E10" s="549"/>
      <c r="F10" s="441" t="s">
        <v>20</v>
      </c>
      <c r="G10" s="440">
        <v>1.6760000000000002</v>
      </c>
      <c r="H10" s="440">
        <v>1.76</v>
      </c>
      <c r="I10" s="440">
        <v>1.802</v>
      </c>
      <c r="J10" s="550"/>
      <c r="K10" s="23"/>
      <c r="L10" s="551"/>
      <c r="M10" s="552"/>
      <c r="N10" s="468"/>
      <c r="O10" s="426"/>
      <c r="P10" s="553"/>
      <c r="Q10" s="22"/>
      <c r="R10" s="549"/>
      <c r="S10" s="441" t="s">
        <v>20</v>
      </c>
      <c r="T10" s="440">
        <v>1.6760000000000002</v>
      </c>
      <c r="U10" s="440">
        <v>1.76</v>
      </c>
      <c r="V10" s="440">
        <v>1.802</v>
      </c>
      <c r="W10" s="550"/>
      <c r="X10" s="23"/>
      <c r="Y10" s="551"/>
      <c r="Z10" s="552"/>
      <c r="AA10" s="468"/>
      <c r="AB10" s="426"/>
      <c r="AC10" s="553"/>
      <c r="AD10" s="22"/>
      <c r="AE10" s="554"/>
      <c r="AF10" s="555"/>
      <c r="AG10" s="555"/>
      <c r="AH10" s="555"/>
      <c r="AI10" s="556"/>
      <c r="AJ10" s="23"/>
      <c r="AK10" s="551"/>
      <c r="AL10" s="552"/>
      <c r="AM10" s="468"/>
    </row>
    <row r="11" spans="1:39" ht="13.5" customHeight="1">
      <c r="A11" s="468"/>
      <c r="B11" s="426"/>
      <c r="C11" s="547"/>
      <c r="D11" s="22"/>
      <c r="E11" s="549" t="s">
        <v>21</v>
      </c>
      <c r="F11" s="439" t="s">
        <v>19</v>
      </c>
      <c r="G11" s="440">
        <v>1.708</v>
      </c>
      <c r="H11" s="440">
        <v>1.7930000000000001</v>
      </c>
      <c r="I11" s="440">
        <v>1.8359999999999999</v>
      </c>
      <c r="J11" s="550">
        <v>720</v>
      </c>
      <c r="K11" s="23"/>
      <c r="L11" s="551"/>
      <c r="M11" s="552"/>
      <c r="N11" s="468"/>
      <c r="O11" s="426"/>
      <c r="P11" s="553"/>
      <c r="Q11" s="22"/>
      <c r="R11" s="549" t="s">
        <v>21</v>
      </c>
      <c r="S11" s="439" t="s">
        <v>19</v>
      </c>
      <c r="T11" s="440">
        <v>1.708</v>
      </c>
      <c r="U11" s="440">
        <v>1.7930000000000001</v>
      </c>
      <c r="V11" s="440">
        <v>1.8359999999999999</v>
      </c>
      <c r="W11" s="550">
        <v>720</v>
      </c>
      <c r="X11" s="23"/>
      <c r="Y11" s="551"/>
      <c r="Z11" s="552"/>
      <c r="AA11" s="468"/>
      <c r="AB11" s="426"/>
      <c r="AC11" s="553"/>
      <c r="AD11" s="22"/>
      <c r="AE11" s="554" t="s">
        <v>21</v>
      </c>
      <c r="AF11" s="555">
        <f>J11</f>
        <v>720</v>
      </c>
      <c r="AG11" s="555">
        <f>W11</f>
        <v>720</v>
      </c>
      <c r="AH11" s="555">
        <f>AF11-AG11</f>
        <v>0</v>
      </c>
      <c r="AI11" s="556">
        <f>ROUND((100/AG11*AH11/100),2)</f>
        <v>0</v>
      </c>
      <c r="AJ11" s="23"/>
      <c r="AK11" s="551"/>
      <c r="AL11" s="552"/>
      <c r="AM11" s="468"/>
    </row>
    <row r="12" spans="1:39" ht="13.5" customHeight="1">
      <c r="A12" s="468"/>
      <c r="B12" s="426"/>
      <c r="C12" s="547"/>
      <c r="D12" s="22"/>
      <c r="E12" s="549"/>
      <c r="F12" s="441" t="s">
        <v>20</v>
      </c>
      <c r="G12" s="440">
        <v>1.6760000000000002</v>
      </c>
      <c r="H12" s="440">
        <v>1.76</v>
      </c>
      <c r="I12" s="440">
        <v>1.802</v>
      </c>
      <c r="J12" s="550"/>
      <c r="K12" s="23"/>
      <c r="L12" s="551"/>
      <c r="M12" s="552"/>
      <c r="N12" s="468"/>
      <c r="O12" s="426"/>
      <c r="P12" s="553"/>
      <c r="Q12" s="22"/>
      <c r="R12" s="549"/>
      <c r="S12" s="441" t="s">
        <v>20</v>
      </c>
      <c r="T12" s="440">
        <v>1.6760000000000002</v>
      </c>
      <c r="U12" s="440">
        <v>1.76</v>
      </c>
      <c r="V12" s="440">
        <v>1.802</v>
      </c>
      <c r="W12" s="550"/>
      <c r="X12" s="23"/>
      <c r="Y12" s="551"/>
      <c r="Z12" s="552"/>
      <c r="AA12" s="468"/>
      <c r="AB12" s="426"/>
      <c r="AC12" s="553"/>
      <c r="AD12" s="22"/>
      <c r="AE12" s="554"/>
      <c r="AF12" s="555"/>
      <c r="AG12" s="555"/>
      <c r="AH12" s="555"/>
      <c r="AI12" s="556"/>
      <c r="AJ12" s="23"/>
      <c r="AK12" s="551"/>
      <c r="AL12" s="552"/>
      <c r="AM12" s="468"/>
    </row>
    <row r="13" spans="1:39" ht="13.5" customHeight="1">
      <c r="A13" s="468"/>
      <c r="B13" s="426"/>
      <c r="C13" s="547"/>
      <c r="D13" s="22"/>
      <c r="E13" s="549" t="s">
        <v>22</v>
      </c>
      <c r="F13" s="439" t="s">
        <v>19</v>
      </c>
      <c r="G13" s="440">
        <v>1.7930000000000001</v>
      </c>
      <c r="H13" s="440">
        <v>1.883</v>
      </c>
      <c r="I13" s="440">
        <v>1.928</v>
      </c>
      <c r="J13" s="550">
        <v>985</v>
      </c>
      <c r="K13" s="23"/>
      <c r="L13" s="551"/>
      <c r="M13" s="552"/>
      <c r="N13" s="468"/>
      <c r="O13" s="426"/>
      <c r="P13" s="553"/>
      <c r="Q13" s="22"/>
      <c r="R13" s="549" t="s">
        <v>22</v>
      </c>
      <c r="S13" s="439" t="s">
        <v>19</v>
      </c>
      <c r="T13" s="440">
        <v>1.7930000000000001</v>
      </c>
      <c r="U13" s="440">
        <v>1.883</v>
      </c>
      <c r="V13" s="440">
        <v>1.928</v>
      </c>
      <c r="W13" s="550">
        <v>887</v>
      </c>
      <c r="X13" s="23"/>
      <c r="Y13" s="551"/>
      <c r="Z13" s="552"/>
      <c r="AA13" s="468"/>
      <c r="AB13" s="426"/>
      <c r="AC13" s="553"/>
      <c r="AD13" s="22"/>
      <c r="AE13" s="554" t="s">
        <v>22</v>
      </c>
      <c r="AF13" s="555">
        <f>J13</f>
        <v>985</v>
      </c>
      <c r="AG13" s="555">
        <f>W13</f>
        <v>887</v>
      </c>
      <c r="AH13" s="555">
        <f>AF13-AG13</f>
        <v>98</v>
      </c>
      <c r="AI13" s="556">
        <f>ROUND((100/AG13*AH13/100),2)</f>
        <v>0.11</v>
      </c>
      <c r="AJ13" s="23"/>
      <c r="AK13" s="551"/>
      <c r="AL13" s="552"/>
      <c r="AM13" s="468"/>
    </row>
    <row r="14" spans="1:39" ht="13.5" customHeight="1">
      <c r="A14" s="468"/>
      <c r="B14" s="426"/>
      <c r="C14" s="547"/>
      <c r="D14" s="22"/>
      <c r="E14" s="549"/>
      <c r="F14" s="441" t="s">
        <v>20</v>
      </c>
      <c r="G14" s="440">
        <v>1.76</v>
      </c>
      <c r="H14" s="440">
        <v>1.8479999999999999</v>
      </c>
      <c r="I14" s="440">
        <v>1.892</v>
      </c>
      <c r="J14" s="550"/>
      <c r="K14" s="23"/>
      <c r="L14" s="551"/>
      <c r="M14" s="552"/>
      <c r="N14" s="468"/>
      <c r="O14" s="426"/>
      <c r="P14" s="553"/>
      <c r="Q14" s="22"/>
      <c r="R14" s="549"/>
      <c r="S14" s="441" t="s">
        <v>20</v>
      </c>
      <c r="T14" s="440">
        <v>1.76</v>
      </c>
      <c r="U14" s="440">
        <v>1.8479999999999999</v>
      </c>
      <c r="V14" s="440">
        <v>1.892</v>
      </c>
      <c r="W14" s="550"/>
      <c r="X14" s="23"/>
      <c r="Y14" s="551"/>
      <c r="Z14" s="552"/>
      <c r="AA14" s="468"/>
      <c r="AB14" s="426"/>
      <c r="AC14" s="553"/>
      <c r="AD14" s="22"/>
      <c r="AE14" s="554"/>
      <c r="AF14" s="555"/>
      <c r="AG14" s="555"/>
      <c r="AH14" s="555"/>
      <c r="AI14" s="556"/>
      <c r="AJ14" s="23"/>
      <c r="AK14" s="551"/>
      <c r="AL14" s="552"/>
      <c r="AM14" s="468"/>
    </row>
    <row r="15" spans="1:39" ht="13.5" customHeight="1">
      <c r="A15" s="468"/>
      <c r="B15" s="426"/>
      <c r="C15" s="547"/>
      <c r="D15" s="22"/>
      <c r="E15" s="549" t="s">
        <v>23</v>
      </c>
      <c r="F15" s="439" t="s">
        <v>19</v>
      </c>
      <c r="G15" s="440">
        <v>1.879</v>
      </c>
      <c r="H15" s="440">
        <v>1.9729999999999999</v>
      </c>
      <c r="I15" s="440">
        <v>2.02</v>
      </c>
      <c r="J15" s="550">
        <v>2323</v>
      </c>
      <c r="K15" s="23"/>
      <c r="L15" s="551"/>
      <c r="M15" s="552"/>
      <c r="N15" s="468"/>
      <c r="O15" s="426"/>
      <c r="P15" s="553"/>
      <c r="Q15" s="22"/>
      <c r="R15" s="549" t="s">
        <v>23</v>
      </c>
      <c r="S15" s="439" t="s">
        <v>19</v>
      </c>
      <c r="T15" s="440">
        <v>1.879</v>
      </c>
      <c r="U15" s="440">
        <v>1.9729999999999999</v>
      </c>
      <c r="V15" s="440">
        <v>2.02</v>
      </c>
      <c r="W15" s="550">
        <v>1019</v>
      </c>
      <c r="X15" s="23"/>
      <c r="Y15" s="551"/>
      <c r="Z15" s="552"/>
      <c r="AA15" s="468"/>
      <c r="AB15" s="426"/>
      <c r="AC15" s="553"/>
      <c r="AD15" s="22"/>
      <c r="AE15" s="554" t="s">
        <v>23</v>
      </c>
      <c r="AF15" s="555">
        <f>J15</f>
        <v>2323</v>
      </c>
      <c r="AG15" s="555">
        <f>W15</f>
        <v>1019</v>
      </c>
      <c r="AH15" s="555">
        <f>AF15-AG15</f>
        <v>1304</v>
      </c>
      <c r="AI15" s="556">
        <f>ROUND((100/AG15*AH15/100),2)</f>
        <v>1.28</v>
      </c>
      <c r="AJ15" s="23"/>
      <c r="AK15" s="551"/>
      <c r="AL15" s="552"/>
      <c r="AM15" s="468"/>
    </row>
    <row r="16" spans="1:39" ht="13.5" customHeight="1">
      <c r="A16" s="468"/>
      <c r="B16" s="426"/>
      <c r="C16" s="548"/>
      <c r="D16" s="22"/>
      <c r="E16" s="549"/>
      <c r="F16" s="441" t="s">
        <v>20</v>
      </c>
      <c r="G16" s="440">
        <v>1.8439999999999999</v>
      </c>
      <c r="H16" s="440">
        <v>1.936</v>
      </c>
      <c r="I16" s="440">
        <v>1.982</v>
      </c>
      <c r="J16" s="550"/>
      <c r="K16" s="23"/>
      <c r="L16" s="551"/>
      <c r="M16" s="552"/>
      <c r="N16" s="468"/>
      <c r="O16" s="426"/>
      <c r="P16" s="553"/>
      <c r="Q16" s="22"/>
      <c r="R16" s="549"/>
      <c r="S16" s="441" t="s">
        <v>20</v>
      </c>
      <c r="T16" s="440">
        <v>1.8439999999999999</v>
      </c>
      <c r="U16" s="440">
        <v>1.936</v>
      </c>
      <c r="V16" s="440">
        <v>1.982</v>
      </c>
      <c r="W16" s="550"/>
      <c r="X16" s="23"/>
      <c r="Y16" s="551"/>
      <c r="Z16" s="552"/>
      <c r="AA16" s="468"/>
      <c r="AB16" s="426"/>
      <c r="AC16" s="553"/>
      <c r="AD16" s="22"/>
      <c r="AE16" s="554"/>
      <c r="AF16" s="555"/>
      <c r="AG16" s="555"/>
      <c r="AH16" s="555"/>
      <c r="AI16" s="556"/>
      <c r="AJ16" s="23"/>
      <c r="AK16" s="551"/>
      <c r="AL16" s="552"/>
      <c r="AM16" s="468"/>
    </row>
    <row r="17" spans="1:39" ht="3.75" customHeight="1">
      <c r="A17" s="468"/>
      <c r="B17" s="426"/>
      <c r="C17" s="24"/>
      <c r="D17" s="24"/>
      <c r="E17" s="25"/>
      <c r="F17" s="20"/>
      <c r="G17" s="20"/>
      <c r="H17" s="20"/>
      <c r="I17" s="20"/>
      <c r="J17" s="26"/>
      <c r="K17" s="24"/>
      <c r="L17" s="27"/>
      <c r="M17" s="429"/>
      <c r="N17" s="468"/>
      <c r="O17" s="426"/>
      <c r="P17" s="24"/>
      <c r="Q17" s="24"/>
      <c r="R17" s="25"/>
      <c r="S17" s="20"/>
      <c r="T17" s="20"/>
      <c r="U17" s="20"/>
      <c r="V17" s="20"/>
      <c r="W17" s="26"/>
      <c r="X17" s="24"/>
      <c r="Y17" s="27"/>
      <c r="Z17" s="429"/>
      <c r="AA17" s="468"/>
      <c r="AB17" s="426"/>
      <c r="AC17" s="24"/>
      <c r="AD17" s="24"/>
      <c r="AE17" s="25"/>
      <c r="AF17" s="28"/>
      <c r="AG17" s="28"/>
      <c r="AH17" s="28"/>
      <c r="AI17" s="28"/>
      <c r="AJ17" s="24"/>
      <c r="AK17" s="27"/>
      <c r="AL17" s="429"/>
      <c r="AM17" s="468"/>
    </row>
    <row r="18" spans="1:39" ht="13.5" customHeight="1">
      <c r="A18" s="468"/>
      <c r="B18" s="426"/>
      <c r="C18" s="557" t="s">
        <v>24</v>
      </c>
      <c r="D18" s="22"/>
      <c r="E18" s="558" t="s">
        <v>25</v>
      </c>
      <c r="F18" s="442" t="s">
        <v>19</v>
      </c>
      <c r="G18" s="443">
        <v>3.127</v>
      </c>
      <c r="H18" s="443">
        <v>3.283</v>
      </c>
      <c r="I18" s="443">
        <v>3.362</v>
      </c>
      <c r="J18" s="559">
        <v>1850</v>
      </c>
      <c r="K18" s="23"/>
      <c r="L18" s="560" t="s">
        <v>24</v>
      </c>
      <c r="M18" s="552"/>
      <c r="N18" s="468"/>
      <c r="O18" s="426"/>
      <c r="P18" s="557" t="s">
        <v>24</v>
      </c>
      <c r="Q18" s="22"/>
      <c r="R18" s="558" t="s">
        <v>25</v>
      </c>
      <c r="S18" s="442" t="s">
        <v>19</v>
      </c>
      <c r="T18" s="443">
        <v>3.127</v>
      </c>
      <c r="U18" s="443">
        <v>3.283</v>
      </c>
      <c r="V18" s="443">
        <v>3.362</v>
      </c>
      <c r="W18" s="559">
        <v>2055</v>
      </c>
      <c r="X18" s="23"/>
      <c r="Y18" s="560" t="s">
        <v>24</v>
      </c>
      <c r="Z18" s="552"/>
      <c r="AA18" s="468"/>
      <c r="AB18" s="426"/>
      <c r="AC18" s="557" t="s">
        <v>24</v>
      </c>
      <c r="AD18" s="22"/>
      <c r="AE18" s="561" t="s">
        <v>25</v>
      </c>
      <c r="AF18" s="562">
        <f>J18</f>
        <v>1850</v>
      </c>
      <c r="AG18" s="562">
        <f>W18</f>
        <v>2055</v>
      </c>
      <c r="AH18" s="562">
        <f>AF18-AG18</f>
        <v>-205</v>
      </c>
      <c r="AI18" s="563">
        <f>ROUND((100/AG18*AH18/100),2)</f>
        <v>-0.1</v>
      </c>
      <c r="AJ18" s="23"/>
      <c r="AK18" s="560" t="s">
        <v>24</v>
      </c>
      <c r="AL18" s="552"/>
      <c r="AM18" s="468"/>
    </row>
    <row r="19" spans="1:39" ht="13.5" customHeight="1">
      <c r="A19" s="468"/>
      <c r="B19" s="426"/>
      <c r="C19" s="557"/>
      <c r="D19" s="22"/>
      <c r="E19" s="558"/>
      <c r="F19" s="444" t="s">
        <v>20</v>
      </c>
      <c r="G19" s="443">
        <v>3.039</v>
      </c>
      <c r="H19" s="443">
        <v>3.191</v>
      </c>
      <c r="I19" s="443">
        <v>3.267</v>
      </c>
      <c r="J19" s="559"/>
      <c r="K19" s="23"/>
      <c r="L19" s="560"/>
      <c r="M19" s="552"/>
      <c r="N19" s="468"/>
      <c r="O19" s="426"/>
      <c r="P19" s="557"/>
      <c r="Q19" s="22"/>
      <c r="R19" s="558"/>
      <c r="S19" s="444" t="s">
        <v>20</v>
      </c>
      <c r="T19" s="443">
        <v>3.039</v>
      </c>
      <c r="U19" s="443">
        <v>3.191</v>
      </c>
      <c r="V19" s="443">
        <v>3.267</v>
      </c>
      <c r="W19" s="559"/>
      <c r="X19" s="23"/>
      <c r="Y19" s="560"/>
      <c r="Z19" s="552"/>
      <c r="AA19" s="468"/>
      <c r="AB19" s="426"/>
      <c r="AC19" s="557"/>
      <c r="AD19" s="22"/>
      <c r="AE19" s="561"/>
      <c r="AF19" s="562"/>
      <c r="AG19" s="562"/>
      <c r="AH19" s="562"/>
      <c r="AI19" s="563"/>
      <c r="AJ19" s="23"/>
      <c r="AK19" s="560"/>
      <c r="AL19" s="552"/>
      <c r="AM19" s="468"/>
    </row>
    <row r="20" spans="1:39" ht="13.5" customHeight="1">
      <c r="A20" s="468"/>
      <c r="B20" s="426"/>
      <c r="C20" s="557"/>
      <c r="D20" s="22"/>
      <c r="E20" s="558" t="s">
        <v>26</v>
      </c>
      <c r="F20" s="442" t="s">
        <v>19</v>
      </c>
      <c r="G20" s="443">
        <v>3.283</v>
      </c>
      <c r="H20" s="443">
        <v>3.447</v>
      </c>
      <c r="I20" s="443">
        <v>3.529</v>
      </c>
      <c r="J20" s="559">
        <v>2863</v>
      </c>
      <c r="K20" s="23"/>
      <c r="L20" s="560"/>
      <c r="M20" s="552"/>
      <c r="N20" s="468"/>
      <c r="O20" s="426"/>
      <c r="P20" s="557"/>
      <c r="Q20" s="22"/>
      <c r="R20" s="558" t="s">
        <v>26</v>
      </c>
      <c r="S20" s="442" t="s">
        <v>19</v>
      </c>
      <c r="T20" s="443">
        <v>3.283</v>
      </c>
      <c r="U20" s="443">
        <v>3.447</v>
      </c>
      <c r="V20" s="443">
        <v>3.529</v>
      </c>
      <c r="W20" s="559">
        <v>2863</v>
      </c>
      <c r="X20" s="23"/>
      <c r="Y20" s="560"/>
      <c r="Z20" s="552"/>
      <c r="AA20" s="468"/>
      <c r="AB20" s="426"/>
      <c r="AC20" s="557"/>
      <c r="AD20" s="22"/>
      <c r="AE20" s="561" t="s">
        <v>26</v>
      </c>
      <c r="AF20" s="562">
        <f>J20</f>
        <v>2863</v>
      </c>
      <c r="AG20" s="562">
        <f>W20</f>
        <v>2863</v>
      </c>
      <c r="AH20" s="562">
        <f>AF20-AG20</f>
        <v>0</v>
      </c>
      <c r="AI20" s="563">
        <f>ROUND((100/AG20*AH20/100),2)</f>
        <v>0</v>
      </c>
      <c r="AJ20" s="23"/>
      <c r="AK20" s="560"/>
      <c r="AL20" s="552"/>
      <c r="AM20" s="468"/>
    </row>
    <row r="21" spans="1:39" ht="13.5" customHeight="1">
      <c r="A21" s="468"/>
      <c r="B21" s="426"/>
      <c r="C21" s="557"/>
      <c r="D21" s="22"/>
      <c r="E21" s="558"/>
      <c r="F21" s="444" t="s">
        <v>20</v>
      </c>
      <c r="G21" s="443">
        <v>3.191</v>
      </c>
      <c r="H21" s="443">
        <v>3.351</v>
      </c>
      <c r="I21" s="443">
        <v>3.43</v>
      </c>
      <c r="J21" s="559"/>
      <c r="K21" s="23"/>
      <c r="L21" s="560"/>
      <c r="M21" s="552"/>
      <c r="N21" s="468"/>
      <c r="O21" s="426"/>
      <c r="P21" s="557"/>
      <c r="Q21" s="22"/>
      <c r="R21" s="558"/>
      <c r="S21" s="444" t="s">
        <v>20</v>
      </c>
      <c r="T21" s="443">
        <v>3.191</v>
      </c>
      <c r="U21" s="443">
        <v>3.351</v>
      </c>
      <c r="V21" s="443">
        <v>3.43</v>
      </c>
      <c r="W21" s="559"/>
      <c r="X21" s="23"/>
      <c r="Y21" s="560"/>
      <c r="Z21" s="552"/>
      <c r="AA21" s="468"/>
      <c r="AB21" s="426"/>
      <c r="AC21" s="557"/>
      <c r="AD21" s="22"/>
      <c r="AE21" s="561"/>
      <c r="AF21" s="562"/>
      <c r="AG21" s="562"/>
      <c r="AH21" s="562"/>
      <c r="AI21" s="563"/>
      <c r="AJ21" s="23"/>
      <c r="AK21" s="560"/>
      <c r="AL21" s="552"/>
      <c r="AM21" s="468"/>
    </row>
    <row r="22" spans="1:39" ht="13.5" customHeight="1">
      <c r="A22" s="468"/>
      <c r="B22" s="426"/>
      <c r="C22" s="557"/>
      <c r="D22" s="22"/>
      <c r="E22" s="558" t="s">
        <v>27</v>
      </c>
      <c r="F22" s="442" t="s">
        <v>19</v>
      </c>
      <c r="G22" s="443">
        <v>3.44</v>
      </c>
      <c r="H22" s="443">
        <v>3.612</v>
      </c>
      <c r="I22" s="443">
        <v>3.698</v>
      </c>
      <c r="J22" s="559">
        <v>7890</v>
      </c>
      <c r="K22" s="23"/>
      <c r="L22" s="560"/>
      <c r="M22" s="552"/>
      <c r="N22" s="468"/>
      <c r="O22" s="426"/>
      <c r="P22" s="557"/>
      <c r="Q22" s="22"/>
      <c r="R22" s="558" t="s">
        <v>27</v>
      </c>
      <c r="S22" s="442" t="s">
        <v>19</v>
      </c>
      <c r="T22" s="443">
        <v>3.44</v>
      </c>
      <c r="U22" s="443">
        <v>3.612</v>
      </c>
      <c r="V22" s="443">
        <v>3.698</v>
      </c>
      <c r="W22" s="559">
        <v>7890</v>
      </c>
      <c r="X22" s="23"/>
      <c r="Y22" s="560"/>
      <c r="Z22" s="552"/>
      <c r="AA22" s="468"/>
      <c r="AB22" s="426"/>
      <c r="AC22" s="557"/>
      <c r="AD22" s="22"/>
      <c r="AE22" s="561" t="s">
        <v>27</v>
      </c>
      <c r="AF22" s="562">
        <f>J22</f>
        <v>7890</v>
      </c>
      <c r="AG22" s="562">
        <f>W22</f>
        <v>7890</v>
      </c>
      <c r="AH22" s="562">
        <f>AF22-AG22</f>
        <v>0</v>
      </c>
      <c r="AI22" s="563">
        <f>ROUND((100/AG22*AH22/100),2)</f>
        <v>0</v>
      </c>
      <c r="AJ22" s="23"/>
      <c r="AK22" s="560"/>
      <c r="AL22" s="552"/>
      <c r="AM22" s="468"/>
    </row>
    <row r="23" spans="1:39" ht="13.5" customHeight="1">
      <c r="A23" s="468"/>
      <c r="B23" s="426"/>
      <c r="C23" s="557"/>
      <c r="D23" s="22"/>
      <c r="E23" s="558"/>
      <c r="F23" s="444" t="s">
        <v>20</v>
      </c>
      <c r="G23" s="443">
        <v>3.343</v>
      </c>
      <c r="H23" s="443">
        <v>3.51</v>
      </c>
      <c r="I23" s="443">
        <v>3.594</v>
      </c>
      <c r="J23" s="559"/>
      <c r="K23" s="23"/>
      <c r="L23" s="560"/>
      <c r="M23" s="552"/>
      <c r="N23" s="468"/>
      <c r="O23" s="426"/>
      <c r="P23" s="557"/>
      <c r="Q23" s="22"/>
      <c r="R23" s="558"/>
      <c r="S23" s="444" t="s">
        <v>20</v>
      </c>
      <c r="T23" s="443">
        <v>3.343</v>
      </c>
      <c r="U23" s="443">
        <v>3.51</v>
      </c>
      <c r="V23" s="443">
        <v>3.594</v>
      </c>
      <c r="W23" s="559"/>
      <c r="X23" s="23"/>
      <c r="Y23" s="560"/>
      <c r="Z23" s="552"/>
      <c r="AA23" s="468"/>
      <c r="AB23" s="426"/>
      <c r="AC23" s="557"/>
      <c r="AD23" s="22"/>
      <c r="AE23" s="561"/>
      <c r="AF23" s="562"/>
      <c r="AG23" s="562"/>
      <c r="AH23" s="562"/>
      <c r="AI23" s="563"/>
      <c r="AJ23" s="23"/>
      <c r="AK23" s="560"/>
      <c r="AL23" s="552"/>
      <c r="AM23" s="468"/>
    </row>
    <row r="24" spans="1:39" ht="3.75" customHeight="1">
      <c r="A24" s="468"/>
      <c r="B24" s="426"/>
      <c r="C24" s="24"/>
      <c r="D24" s="24"/>
      <c r="E24" s="29"/>
      <c r="F24" s="20"/>
      <c r="G24" s="20"/>
      <c r="H24" s="20"/>
      <c r="I24" s="20"/>
      <c r="J24" s="26"/>
      <c r="K24" s="24"/>
      <c r="L24" s="27"/>
      <c r="M24" s="429"/>
      <c r="N24" s="468"/>
      <c r="O24" s="426"/>
      <c r="P24" s="24"/>
      <c r="Q24" s="24"/>
      <c r="R24" s="29"/>
      <c r="S24" s="20"/>
      <c r="T24" s="20"/>
      <c r="U24" s="20"/>
      <c r="V24" s="20"/>
      <c r="W24" s="26"/>
      <c r="X24" s="24"/>
      <c r="Y24" s="27"/>
      <c r="Z24" s="429"/>
      <c r="AA24" s="468"/>
      <c r="AB24" s="426"/>
      <c r="AC24" s="24"/>
      <c r="AD24" s="24"/>
      <c r="AE24" s="29"/>
      <c r="AF24" s="21"/>
      <c r="AG24" s="21"/>
      <c r="AH24" s="21"/>
      <c r="AI24" s="28"/>
      <c r="AJ24" s="24"/>
      <c r="AK24" s="27"/>
      <c r="AL24" s="429"/>
      <c r="AM24" s="468"/>
    </row>
    <row r="25" spans="1:39" ht="15.75" customHeight="1">
      <c r="A25" s="468"/>
      <c r="B25" s="426"/>
      <c r="C25" s="540" t="s">
        <v>28</v>
      </c>
      <c r="D25" s="541"/>
      <c r="E25" s="542"/>
      <c r="F25" s="419" t="s">
        <v>29</v>
      </c>
      <c r="G25" s="419" t="s">
        <v>12</v>
      </c>
      <c r="H25" s="419" t="s">
        <v>30</v>
      </c>
      <c r="I25" s="419" t="s">
        <v>31</v>
      </c>
      <c r="J25" s="543" t="s">
        <v>15</v>
      </c>
      <c r="K25" s="544"/>
      <c r="L25" s="545"/>
      <c r="M25" s="430"/>
      <c r="N25" s="468"/>
      <c r="O25" s="426"/>
      <c r="P25" s="540" t="s">
        <v>28</v>
      </c>
      <c r="Q25" s="541"/>
      <c r="R25" s="542"/>
      <c r="S25" s="419" t="s">
        <v>29</v>
      </c>
      <c r="T25" s="419" t="s">
        <v>12</v>
      </c>
      <c r="U25" s="419" t="s">
        <v>30</v>
      </c>
      <c r="V25" s="419" t="s">
        <v>31</v>
      </c>
      <c r="W25" s="543" t="s">
        <v>15</v>
      </c>
      <c r="X25" s="544"/>
      <c r="Y25" s="545"/>
      <c r="Z25" s="430"/>
      <c r="AA25" s="468"/>
      <c r="AB25" s="426"/>
      <c r="AC25" s="540" t="s">
        <v>28</v>
      </c>
      <c r="AD25" s="541"/>
      <c r="AE25" s="542"/>
      <c r="AF25" s="420" t="str">
        <f>AF7</f>
        <v>2018-19</v>
      </c>
      <c r="AG25" s="420" t="str">
        <f>AG7</f>
        <v>2017-18</v>
      </c>
      <c r="AH25" s="420" t="str">
        <f>AH7</f>
        <v>Diff in Prem</v>
      </c>
      <c r="AI25" s="543" t="s">
        <v>16</v>
      </c>
      <c r="AJ25" s="544"/>
      <c r="AK25" s="545"/>
      <c r="AL25" s="430"/>
      <c r="AM25" s="468"/>
    </row>
    <row r="26" spans="1:39" ht="3.75" customHeight="1">
      <c r="A26" s="468"/>
      <c r="B26" s="426"/>
      <c r="C26" s="20"/>
      <c r="D26" s="20"/>
      <c r="E26" s="20"/>
      <c r="F26" s="20"/>
      <c r="G26" s="20"/>
      <c r="H26" s="20"/>
      <c r="I26" s="20"/>
      <c r="J26" s="20"/>
      <c r="K26" s="20"/>
      <c r="L26" s="20"/>
      <c r="M26" s="429"/>
      <c r="N26" s="468"/>
      <c r="O26" s="426"/>
      <c r="P26" s="20"/>
      <c r="Q26" s="20"/>
      <c r="R26" s="20"/>
      <c r="S26" s="20"/>
      <c r="T26" s="20"/>
      <c r="U26" s="20"/>
      <c r="V26" s="20"/>
      <c r="W26" s="20"/>
      <c r="X26" s="20"/>
      <c r="Y26" s="20"/>
      <c r="Z26" s="429"/>
      <c r="AA26" s="468"/>
      <c r="AB26" s="426"/>
      <c r="AC26" s="20"/>
      <c r="AD26" s="20"/>
      <c r="AE26" s="20"/>
      <c r="AF26" s="21"/>
      <c r="AG26" s="21"/>
      <c r="AH26" s="21"/>
      <c r="AI26" s="21"/>
      <c r="AJ26" s="20"/>
      <c r="AK26" s="20"/>
      <c r="AL26" s="429"/>
      <c r="AM26" s="468"/>
    </row>
    <row r="27" spans="1:39" ht="13.5" customHeight="1">
      <c r="A27" s="468"/>
      <c r="B27" s="426"/>
      <c r="C27" s="553" t="s">
        <v>32</v>
      </c>
      <c r="D27" s="22"/>
      <c r="E27" s="549" t="s">
        <v>25</v>
      </c>
      <c r="F27" s="439" t="s">
        <v>19</v>
      </c>
      <c r="G27" s="440">
        <v>3.284</v>
      </c>
      <c r="H27" s="440">
        <v>3.366</v>
      </c>
      <c r="I27" s="440">
        <v>3.448</v>
      </c>
      <c r="J27" s="445">
        <v>5437</v>
      </c>
      <c r="K27" s="23"/>
      <c r="L27" s="551" t="s">
        <v>32</v>
      </c>
      <c r="M27" s="564">
        <v>788</v>
      </c>
      <c r="N27" s="468"/>
      <c r="O27" s="426"/>
      <c r="P27" s="553" t="s">
        <v>32</v>
      </c>
      <c r="Q27" s="22"/>
      <c r="R27" s="549" t="s">
        <v>25</v>
      </c>
      <c r="S27" s="439" t="s">
        <v>19</v>
      </c>
      <c r="T27" s="440">
        <v>3.284</v>
      </c>
      <c r="U27" s="440">
        <v>3.366</v>
      </c>
      <c r="V27" s="440">
        <v>3.448</v>
      </c>
      <c r="W27" s="445">
        <v>6396</v>
      </c>
      <c r="X27" s="23"/>
      <c r="Y27" s="551" t="s">
        <v>32</v>
      </c>
      <c r="Z27" s="564">
        <v>788</v>
      </c>
      <c r="AA27" s="468"/>
      <c r="AB27" s="426"/>
      <c r="AC27" s="553" t="s">
        <v>32</v>
      </c>
      <c r="AD27" s="22"/>
      <c r="AE27" s="554" t="s">
        <v>25</v>
      </c>
      <c r="AF27" s="432">
        <f>J27</f>
        <v>5437</v>
      </c>
      <c r="AG27" s="432">
        <f>W27</f>
        <v>6396</v>
      </c>
      <c r="AH27" s="432">
        <f aca="true" t="shared" si="0" ref="AH27:AH32">AF27-AG27</f>
        <v>-959</v>
      </c>
      <c r="AI27" s="433">
        <f aca="true" t="shared" si="1" ref="AI27:AI32">ROUND((100/AG27*AH27/100),2)</f>
        <v>-0.15</v>
      </c>
      <c r="AJ27" s="23"/>
      <c r="AK27" s="551" t="s">
        <v>32</v>
      </c>
      <c r="AL27" s="564">
        <v>788</v>
      </c>
      <c r="AM27" s="468"/>
    </row>
    <row r="28" spans="1:39" ht="13.5" customHeight="1">
      <c r="A28" s="468"/>
      <c r="B28" s="426"/>
      <c r="C28" s="553"/>
      <c r="D28" s="22"/>
      <c r="E28" s="549"/>
      <c r="F28" s="441" t="s">
        <v>20</v>
      </c>
      <c r="G28" s="440">
        <v>3.191</v>
      </c>
      <c r="H28" s="440">
        <v>3.271</v>
      </c>
      <c r="I28" s="440">
        <v>3.351</v>
      </c>
      <c r="J28" s="446" t="s">
        <v>417</v>
      </c>
      <c r="K28" s="23"/>
      <c r="L28" s="551"/>
      <c r="M28" s="564"/>
      <c r="N28" s="468"/>
      <c r="O28" s="426"/>
      <c r="P28" s="553"/>
      <c r="Q28" s="22"/>
      <c r="R28" s="549"/>
      <c r="S28" s="441" t="s">
        <v>20</v>
      </c>
      <c r="T28" s="440">
        <v>3.191</v>
      </c>
      <c r="U28" s="440">
        <v>3.271</v>
      </c>
      <c r="V28" s="440">
        <v>3.351</v>
      </c>
      <c r="W28" s="446" t="s">
        <v>33</v>
      </c>
      <c r="X28" s="23"/>
      <c r="Y28" s="551"/>
      <c r="Z28" s="564"/>
      <c r="AA28" s="468"/>
      <c r="AB28" s="426"/>
      <c r="AC28" s="553"/>
      <c r="AD28" s="22"/>
      <c r="AE28" s="554"/>
      <c r="AF28" s="432" t="str">
        <f>LEFT(J28,4)</f>
        <v>1046</v>
      </c>
      <c r="AG28" s="432" t="str">
        <f>LEFT(W28,4)</f>
        <v>1230</v>
      </c>
      <c r="AH28" s="432">
        <f t="shared" si="0"/>
        <v>-184</v>
      </c>
      <c r="AI28" s="433">
        <f t="shared" si="1"/>
        <v>-0.15</v>
      </c>
      <c r="AJ28" s="23"/>
      <c r="AK28" s="551"/>
      <c r="AL28" s="564"/>
      <c r="AM28" s="468"/>
    </row>
    <row r="29" spans="1:39" ht="13.5" customHeight="1">
      <c r="A29" s="468"/>
      <c r="B29" s="426"/>
      <c r="C29" s="553"/>
      <c r="D29" s="22"/>
      <c r="E29" s="549" t="s">
        <v>26</v>
      </c>
      <c r="F29" s="439" t="s">
        <v>19</v>
      </c>
      <c r="G29" s="440">
        <v>3.448</v>
      </c>
      <c r="H29" s="440">
        <v>3.534</v>
      </c>
      <c r="I29" s="440">
        <v>3.62</v>
      </c>
      <c r="J29" s="445">
        <v>7147</v>
      </c>
      <c r="K29" s="23"/>
      <c r="L29" s="551"/>
      <c r="M29" s="564"/>
      <c r="N29" s="468"/>
      <c r="O29" s="426"/>
      <c r="P29" s="553"/>
      <c r="Q29" s="22"/>
      <c r="R29" s="549" t="s">
        <v>26</v>
      </c>
      <c r="S29" s="439" t="s">
        <v>19</v>
      </c>
      <c r="T29" s="440">
        <v>3.448</v>
      </c>
      <c r="U29" s="440">
        <v>3.534</v>
      </c>
      <c r="V29" s="440">
        <v>3.62</v>
      </c>
      <c r="W29" s="445">
        <v>8408</v>
      </c>
      <c r="X29" s="23"/>
      <c r="Y29" s="551"/>
      <c r="Z29" s="564"/>
      <c r="AA29" s="468"/>
      <c r="AB29" s="426"/>
      <c r="AC29" s="553"/>
      <c r="AD29" s="22"/>
      <c r="AE29" s="554" t="s">
        <v>26</v>
      </c>
      <c r="AF29" s="432">
        <f>J29</f>
        <v>7147</v>
      </c>
      <c r="AG29" s="432">
        <f>W29</f>
        <v>8408</v>
      </c>
      <c r="AH29" s="432">
        <f t="shared" si="0"/>
        <v>-1261</v>
      </c>
      <c r="AI29" s="433">
        <f t="shared" si="1"/>
        <v>-0.15</v>
      </c>
      <c r="AJ29" s="23"/>
      <c r="AK29" s="551"/>
      <c r="AL29" s="564"/>
      <c r="AM29" s="468"/>
    </row>
    <row r="30" spans="1:39" ht="13.5" customHeight="1">
      <c r="A30" s="468"/>
      <c r="B30" s="426"/>
      <c r="C30" s="553"/>
      <c r="D30" s="22"/>
      <c r="E30" s="549"/>
      <c r="F30" s="441" t="s">
        <v>20</v>
      </c>
      <c r="G30" s="440">
        <v>3.351</v>
      </c>
      <c r="H30" s="440">
        <v>3.435</v>
      </c>
      <c r="I30" s="440">
        <v>3.519</v>
      </c>
      <c r="J30" s="446" t="s">
        <v>418</v>
      </c>
      <c r="K30" s="23"/>
      <c r="L30" s="551"/>
      <c r="M30" s="564"/>
      <c r="N30" s="468"/>
      <c r="O30" s="426"/>
      <c r="P30" s="553"/>
      <c r="Q30" s="22"/>
      <c r="R30" s="549"/>
      <c r="S30" s="441" t="s">
        <v>20</v>
      </c>
      <c r="T30" s="440">
        <v>3.351</v>
      </c>
      <c r="U30" s="440">
        <v>3.435</v>
      </c>
      <c r="V30" s="440">
        <v>3.519</v>
      </c>
      <c r="W30" s="446" t="s">
        <v>34</v>
      </c>
      <c r="X30" s="23"/>
      <c r="Y30" s="551"/>
      <c r="Z30" s="564"/>
      <c r="AA30" s="468"/>
      <c r="AB30" s="426"/>
      <c r="AC30" s="553"/>
      <c r="AD30" s="22"/>
      <c r="AE30" s="554"/>
      <c r="AF30" s="432" t="str">
        <f>LEFT(J30,4)</f>
        <v>880 </v>
      </c>
      <c r="AG30" s="432" t="str">
        <f>LEFT(W30,4)</f>
        <v>1035</v>
      </c>
      <c r="AH30" s="432">
        <f t="shared" si="0"/>
        <v>-155</v>
      </c>
      <c r="AI30" s="433">
        <f t="shared" si="1"/>
        <v>-0.15</v>
      </c>
      <c r="AJ30" s="23"/>
      <c r="AK30" s="551"/>
      <c r="AL30" s="564"/>
      <c r="AM30" s="468"/>
    </row>
    <row r="31" spans="1:39" ht="13.5" customHeight="1">
      <c r="A31" s="468"/>
      <c r="B31" s="426"/>
      <c r="C31" s="553"/>
      <c r="D31" s="22"/>
      <c r="E31" s="549" t="s">
        <v>27</v>
      </c>
      <c r="F31" s="439" t="s">
        <v>19</v>
      </c>
      <c r="G31" s="440">
        <v>3.612</v>
      </c>
      <c r="H31" s="440">
        <v>3.7030000000000003</v>
      </c>
      <c r="I31" s="440">
        <v>3.793</v>
      </c>
      <c r="J31" s="445">
        <v>9472</v>
      </c>
      <c r="K31" s="23"/>
      <c r="L31" s="551"/>
      <c r="M31" s="564"/>
      <c r="N31" s="468"/>
      <c r="O31" s="426"/>
      <c r="P31" s="553"/>
      <c r="Q31" s="22"/>
      <c r="R31" s="549" t="s">
        <v>27</v>
      </c>
      <c r="S31" s="439" t="s">
        <v>19</v>
      </c>
      <c r="T31" s="440">
        <v>3.612</v>
      </c>
      <c r="U31" s="440">
        <v>3.7030000000000003</v>
      </c>
      <c r="V31" s="440">
        <v>3.793</v>
      </c>
      <c r="W31" s="445">
        <v>11144</v>
      </c>
      <c r="X31" s="23"/>
      <c r="Y31" s="551"/>
      <c r="Z31" s="564"/>
      <c r="AA31" s="468"/>
      <c r="AB31" s="426"/>
      <c r="AC31" s="553"/>
      <c r="AD31" s="22"/>
      <c r="AE31" s="554" t="s">
        <v>27</v>
      </c>
      <c r="AF31" s="432">
        <f>J31</f>
        <v>9472</v>
      </c>
      <c r="AG31" s="432">
        <f>W31</f>
        <v>11144</v>
      </c>
      <c r="AH31" s="432">
        <f t="shared" si="0"/>
        <v>-1672</v>
      </c>
      <c r="AI31" s="433">
        <f t="shared" si="1"/>
        <v>-0.15</v>
      </c>
      <c r="AJ31" s="23"/>
      <c r="AK31" s="551"/>
      <c r="AL31" s="564"/>
      <c r="AM31" s="468"/>
    </row>
    <row r="32" spans="1:39" ht="13.5" customHeight="1">
      <c r="A32" s="468"/>
      <c r="B32" s="426"/>
      <c r="C32" s="553"/>
      <c r="D32" s="22"/>
      <c r="E32" s="549"/>
      <c r="F32" s="441" t="s">
        <v>20</v>
      </c>
      <c r="G32" s="440">
        <v>3.51</v>
      </c>
      <c r="H32" s="440">
        <v>3.598</v>
      </c>
      <c r="I32" s="440">
        <v>3.686</v>
      </c>
      <c r="J32" s="446" t="s">
        <v>419</v>
      </c>
      <c r="K32" s="23"/>
      <c r="L32" s="551"/>
      <c r="M32" s="564"/>
      <c r="N32" s="468"/>
      <c r="O32" s="426"/>
      <c r="P32" s="553"/>
      <c r="Q32" s="22"/>
      <c r="R32" s="549"/>
      <c r="S32" s="441" t="s">
        <v>20</v>
      </c>
      <c r="T32" s="440">
        <v>3.51</v>
      </c>
      <c r="U32" s="440">
        <v>3.598</v>
      </c>
      <c r="V32" s="440">
        <v>3.686</v>
      </c>
      <c r="W32" s="446" t="s">
        <v>35</v>
      </c>
      <c r="X32" s="23"/>
      <c r="Y32" s="551"/>
      <c r="Z32" s="564"/>
      <c r="AA32" s="468"/>
      <c r="AB32" s="426"/>
      <c r="AC32" s="553"/>
      <c r="AD32" s="22"/>
      <c r="AE32" s="554"/>
      <c r="AF32" s="432" t="str">
        <f>LEFT(J32,4)</f>
        <v>1006</v>
      </c>
      <c r="AG32" s="432" t="str">
        <f>LEFT(W32,4)</f>
        <v>1183</v>
      </c>
      <c r="AH32" s="432">
        <f t="shared" si="0"/>
        <v>-177</v>
      </c>
      <c r="AI32" s="433">
        <f t="shared" si="1"/>
        <v>-0.15</v>
      </c>
      <c r="AJ32" s="23"/>
      <c r="AK32" s="551"/>
      <c r="AL32" s="564"/>
      <c r="AM32" s="468"/>
    </row>
    <row r="33" spans="1:39" ht="3.75" customHeight="1">
      <c r="A33" s="468"/>
      <c r="B33" s="426"/>
      <c r="C33" s="24"/>
      <c r="D33" s="24"/>
      <c r="E33" s="30"/>
      <c r="F33" s="20"/>
      <c r="G33" s="20"/>
      <c r="H33" s="20"/>
      <c r="I33" s="20"/>
      <c r="J33" s="26"/>
      <c r="K33" s="24"/>
      <c r="L33" s="27"/>
      <c r="M33" s="429"/>
      <c r="N33" s="468"/>
      <c r="O33" s="426"/>
      <c r="P33" s="24"/>
      <c r="Q33" s="24"/>
      <c r="R33" s="30"/>
      <c r="S33" s="20"/>
      <c r="T33" s="20"/>
      <c r="U33" s="20"/>
      <c r="V33" s="20"/>
      <c r="W33" s="26"/>
      <c r="X33" s="24"/>
      <c r="Y33" s="27"/>
      <c r="Z33" s="429"/>
      <c r="AA33" s="468"/>
      <c r="AB33" s="426"/>
      <c r="AC33" s="24"/>
      <c r="AD33" s="24"/>
      <c r="AE33" s="30"/>
      <c r="AF33" s="21"/>
      <c r="AG33" s="21"/>
      <c r="AH33" s="31"/>
      <c r="AI33" s="28"/>
      <c r="AJ33" s="24"/>
      <c r="AK33" s="27"/>
      <c r="AL33" s="429"/>
      <c r="AM33" s="468"/>
    </row>
    <row r="34" spans="1:39" ht="13.5" customHeight="1">
      <c r="A34" s="468"/>
      <c r="B34" s="426"/>
      <c r="C34" s="557" t="s">
        <v>36</v>
      </c>
      <c r="D34" s="32"/>
      <c r="E34" s="447" t="s">
        <v>37</v>
      </c>
      <c r="F34" s="442" t="s">
        <v>19</v>
      </c>
      <c r="G34" s="443">
        <v>1.6800000000000002</v>
      </c>
      <c r="H34" s="443">
        <v>1.722</v>
      </c>
      <c r="I34" s="443">
        <v>1.764</v>
      </c>
      <c r="J34" s="565">
        <v>13176</v>
      </c>
      <c r="K34" s="32"/>
      <c r="L34" s="566" t="s">
        <v>36</v>
      </c>
      <c r="M34" s="564">
        <v>479</v>
      </c>
      <c r="N34" s="468"/>
      <c r="O34" s="426"/>
      <c r="P34" s="557" t="s">
        <v>36</v>
      </c>
      <c r="Q34" s="32"/>
      <c r="R34" s="447" t="s">
        <v>37</v>
      </c>
      <c r="S34" s="442" t="s">
        <v>19</v>
      </c>
      <c r="T34" s="443">
        <v>1.6800000000000002</v>
      </c>
      <c r="U34" s="443">
        <v>1.722</v>
      </c>
      <c r="V34" s="443">
        <v>1.764</v>
      </c>
      <c r="W34" s="565">
        <v>13176</v>
      </c>
      <c r="X34" s="32"/>
      <c r="Y34" s="566" t="s">
        <v>36</v>
      </c>
      <c r="Z34" s="564">
        <v>479</v>
      </c>
      <c r="AA34" s="468"/>
      <c r="AB34" s="426"/>
      <c r="AC34" s="557" t="s">
        <v>36</v>
      </c>
      <c r="AD34" s="32"/>
      <c r="AE34" s="434" t="s">
        <v>38</v>
      </c>
      <c r="AF34" s="567">
        <f>J34</f>
        <v>13176</v>
      </c>
      <c r="AG34" s="567">
        <f>W34</f>
        <v>13176</v>
      </c>
      <c r="AH34" s="567">
        <f>AF34-AG34</f>
        <v>0</v>
      </c>
      <c r="AI34" s="569">
        <f>ROUND((100/AG34*AH34/100),2)</f>
        <v>0</v>
      </c>
      <c r="AJ34" s="32"/>
      <c r="AK34" s="566" t="s">
        <v>36</v>
      </c>
      <c r="AL34" s="564">
        <v>479</v>
      </c>
      <c r="AM34" s="468"/>
    </row>
    <row r="35" spans="1:39" ht="13.5" customHeight="1">
      <c r="A35" s="468"/>
      <c r="B35" s="426"/>
      <c r="C35" s="557"/>
      <c r="D35" s="32"/>
      <c r="E35" s="447" t="s">
        <v>39</v>
      </c>
      <c r="F35" s="444" t="s">
        <v>20</v>
      </c>
      <c r="G35" s="443">
        <v>1.6720000000000002</v>
      </c>
      <c r="H35" s="443">
        <v>1.714</v>
      </c>
      <c r="I35" s="443">
        <v>1.756</v>
      </c>
      <c r="J35" s="565"/>
      <c r="K35" s="32"/>
      <c r="L35" s="566"/>
      <c r="M35" s="564"/>
      <c r="N35" s="468"/>
      <c r="O35" s="426"/>
      <c r="P35" s="557"/>
      <c r="Q35" s="32"/>
      <c r="R35" s="447" t="s">
        <v>39</v>
      </c>
      <c r="S35" s="444" t="s">
        <v>20</v>
      </c>
      <c r="T35" s="443">
        <v>1.6720000000000002</v>
      </c>
      <c r="U35" s="443">
        <v>1.714</v>
      </c>
      <c r="V35" s="443">
        <v>1.756</v>
      </c>
      <c r="W35" s="565"/>
      <c r="X35" s="32"/>
      <c r="Y35" s="566"/>
      <c r="Z35" s="564"/>
      <c r="AA35" s="468"/>
      <c r="AB35" s="426"/>
      <c r="AC35" s="557"/>
      <c r="AD35" s="32"/>
      <c r="AE35" s="434" t="s">
        <v>40</v>
      </c>
      <c r="AF35" s="568"/>
      <c r="AG35" s="568"/>
      <c r="AH35" s="568"/>
      <c r="AI35" s="570"/>
      <c r="AJ35" s="32"/>
      <c r="AK35" s="566"/>
      <c r="AL35" s="564"/>
      <c r="AM35" s="468"/>
    </row>
    <row r="36" spans="1:39" ht="13.5" customHeight="1">
      <c r="A36" s="468"/>
      <c r="B36" s="426"/>
      <c r="C36" s="557"/>
      <c r="D36" s="32"/>
      <c r="E36" s="447" t="s">
        <v>41</v>
      </c>
      <c r="F36" s="444" t="s">
        <v>42</v>
      </c>
      <c r="G36" s="443">
        <v>1.6560000000000001</v>
      </c>
      <c r="H36" s="443">
        <v>1.697</v>
      </c>
      <c r="I36" s="443">
        <v>1.7389999999999999</v>
      </c>
      <c r="J36" s="565" t="s">
        <v>310</v>
      </c>
      <c r="K36" s="32"/>
      <c r="L36" s="566"/>
      <c r="M36" s="564"/>
      <c r="N36" s="468"/>
      <c r="O36" s="426"/>
      <c r="P36" s="557"/>
      <c r="Q36" s="32"/>
      <c r="R36" s="447" t="s">
        <v>41</v>
      </c>
      <c r="S36" s="444" t="s">
        <v>42</v>
      </c>
      <c r="T36" s="443">
        <v>1.6560000000000001</v>
      </c>
      <c r="U36" s="443">
        <v>1.697</v>
      </c>
      <c r="V36" s="443">
        <v>1.7389999999999999</v>
      </c>
      <c r="W36" s="565" t="s">
        <v>310</v>
      </c>
      <c r="X36" s="32"/>
      <c r="Y36" s="566"/>
      <c r="Z36" s="564"/>
      <c r="AA36" s="468"/>
      <c r="AB36" s="426"/>
      <c r="AC36" s="557"/>
      <c r="AD36" s="32"/>
      <c r="AE36" s="434" t="s">
        <v>43</v>
      </c>
      <c r="AF36" s="435"/>
      <c r="AG36" s="435"/>
      <c r="AH36" s="435"/>
      <c r="AI36" s="436"/>
      <c r="AJ36" s="32"/>
      <c r="AK36" s="566"/>
      <c r="AL36" s="564"/>
      <c r="AM36" s="468"/>
    </row>
    <row r="37" spans="1:39" ht="13.5" customHeight="1">
      <c r="A37" s="468"/>
      <c r="B37" s="426"/>
      <c r="C37" s="557"/>
      <c r="D37" s="32"/>
      <c r="E37" s="447" t="s">
        <v>44</v>
      </c>
      <c r="F37" s="571" t="s">
        <v>45</v>
      </c>
      <c r="G37" s="571"/>
      <c r="H37" s="571"/>
      <c r="I37" s="571"/>
      <c r="J37" s="565"/>
      <c r="K37" s="32"/>
      <c r="L37" s="566"/>
      <c r="M37" s="564"/>
      <c r="N37" s="468"/>
      <c r="O37" s="426"/>
      <c r="P37" s="557"/>
      <c r="Q37" s="32"/>
      <c r="R37" s="447" t="s">
        <v>44</v>
      </c>
      <c r="S37" s="571" t="s">
        <v>45</v>
      </c>
      <c r="T37" s="571"/>
      <c r="U37" s="571"/>
      <c r="V37" s="571"/>
      <c r="W37" s="565"/>
      <c r="X37" s="32"/>
      <c r="Y37" s="566"/>
      <c r="Z37" s="564"/>
      <c r="AA37" s="468"/>
      <c r="AB37" s="426"/>
      <c r="AC37" s="557"/>
      <c r="AD37" s="32"/>
      <c r="AE37" s="434" t="s">
        <v>46</v>
      </c>
      <c r="AF37" s="572" t="str">
        <f>LEFT(J36,3)</f>
        <v>805</v>
      </c>
      <c r="AG37" s="572" t="str">
        <f>LEFT(W36,3)</f>
        <v>805</v>
      </c>
      <c r="AH37" s="572">
        <f>AF37-AG37</f>
        <v>0</v>
      </c>
      <c r="AI37" s="574">
        <f>ROUND((100/AG37*AH37/100),2)</f>
        <v>0</v>
      </c>
      <c r="AJ37" s="32"/>
      <c r="AK37" s="566"/>
      <c r="AL37" s="564"/>
      <c r="AM37" s="468"/>
    </row>
    <row r="38" spans="1:39" ht="13.5" customHeight="1">
      <c r="A38" s="468"/>
      <c r="B38" s="426"/>
      <c r="C38" s="557"/>
      <c r="D38" s="32"/>
      <c r="E38" s="447" t="s">
        <v>47</v>
      </c>
      <c r="F38" s="571" t="s">
        <v>48</v>
      </c>
      <c r="G38" s="571"/>
      <c r="H38" s="571"/>
      <c r="I38" s="571"/>
      <c r="J38" s="571"/>
      <c r="K38" s="32"/>
      <c r="L38" s="566"/>
      <c r="M38" s="564"/>
      <c r="N38" s="468"/>
      <c r="O38" s="426"/>
      <c r="P38" s="557"/>
      <c r="Q38" s="32"/>
      <c r="R38" s="447" t="s">
        <v>47</v>
      </c>
      <c r="S38" s="571" t="s">
        <v>48</v>
      </c>
      <c r="T38" s="571"/>
      <c r="U38" s="571"/>
      <c r="V38" s="571"/>
      <c r="W38" s="571"/>
      <c r="X38" s="32"/>
      <c r="Y38" s="566"/>
      <c r="Z38" s="564"/>
      <c r="AA38" s="468"/>
      <c r="AB38" s="426"/>
      <c r="AC38" s="557"/>
      <c r="AD38" s="32"/>
      <c r="AE38" s="434" t="s">
        <v>47</v>
      </c>
      <c r="AF38" s="573"/>
      <c r="AG38" s="573"/>
      <c r="AH38" s="573"/>
      <c r="AI38" s="575"/>
      <c r="AJ38" s="32"/>
      <c r="AK38" s="566"/>
      <c r="AL38" s="564"/>
      <c r="AM38" s="468"/>
    </row>
    <row r="39" spans="1:39" ht="3.75" customHeight="1">
      <c r="A39" s="468"/>
      <c r="B39" s="426"/>
      <c r="C39" s="24"/>
      <c r="D39" s="24"/>
      <c r="E39" s="29"/>
      <c r="F39" s="20"/>
      <c r="G39" s="20"/>
      <c r="H39" s="20"/>
      <c r="I39" s="20"/>
      <c r="J39" s="26"/>
      <c r="K39" s="24"/>
      <c r="L39" s="27"/>
      <c r="M39" s="429"/>
      <c r="N39" s="468"/>
      <c r="O39" s="426"/>
      <c r="P39" s="24"/>
      <c r="Q39" s="24"/>
      <c r="R39" s="29"/>
      <c r="S39" s="20"/>
      <c r="T39" s="20"/>
      <c r="U39" s="20"/>
      <c r="V39" s="20"/>
      <c r="W39" s="26"/>
      <c r="X39" s="24"/>
      <c r="Y39" s="27"/>
      <c r="Z39" s="429"/>
      <c r="AA39" s="468"/>
      <c r="AB39" s="426"/>
      <c r="AC39" s="24"/>
      <c r="AD39" s="24"/>
      <c r="AE39" s="29"/>
      <c r="AF39" s="29"/>
      <c r="AG39" s="29"/>
      <c r="AH39" s="29"/>
      <c r="AI39" s="29"/>
      <c r="AJ39" s="24"/>
      <c r="AK39" s="27"/>
      <c r="AL39" s="429"/>
      <c r="AM39" s="468"/>
    </row>
    <row r="40" spans="1:39" ht="13.5" customHeight="1">
      <c r="A40" s="468"/>
      <c r="B40" s="426"/>
      <c r="C40" s="553" t="s">
        <v>49</v>
      </c>
      <c r="D40" s="22"/>
      <c r="E40" s="549" t="s">
        <v>50</v>
      </c>
      <c r="F40" s="439" t="s">
        <v>19</v>
      </c>
      <c r="G40" s="440">
        <v>1.278</v>
      </c>
      <c r="H40" s="440">
        <v>1.31</v>
      </c>
      <c r="I40" s="440">
        <v>1.342</v>
      </c>
      <c r="J40" s="576">
        <v>2595</v>
      </c>
      <c r="K40" s="22"/>
      <c r="L40" s="578" t="s">
        <v>49</v>
      </c>
      <c r="M40" s="564">
        <v>580</v>
      </c>
      <c r="N40" s="468"/>
      <c r="O40" s="426"/>
      <c r="P40" s="553" t="s">
        <v>49</v>
      </c>
      <c r="Q40" s="22"/>
      <c r="R40" s="549" t="s">
        <v>50</v>
      </c>
      <c r="S40" s="439" t="s">
        <v>19</v>
      </c>
      <c r="T40" s="440">
        <v>1.278</v>
      </c>
      <c r="U40" s="440">
        <v>1.31</v>
      </c>
      <c r="V40" s="440">
        <v>1.342</v>
      </c>
      <c r="W40" s="576">
        <v>2218</v>
      </c>
      <c r="X40" s="22"/>
      <c r="Y40" s="578" t="s">
        <v>49</v>
      </c>
      <c r="Z40" s="564">
        <v>580</v>
      </c>
      <c r="AA40" s="468"/>
      <c r="AB40" s="426"/>
      <c r="AC40" s="553" t="s">
        <v>49</v>
      </c>
      <c r="AD40" s="22"/>
      <c r="AE40" s="554" t="s">
        <v>50</v>
      </c>
      <c r="AF40" s="437">
        <f>J40</f>
        <v>2595</v>
      </c>
      <c r="AG40" s="437">
        <f>W40</f>
        <v>2218</v>
      </c>
      <c r="AH40" s="437">
        <f>AF40-AG40</f>
        <v>377</v>
      </c>
      <c r="AI40" s="438">
        <f>ROUND((100/AG40*AH40/100),2)</f>
        <v>0.17</v>
      </c>
      <c r="AJ40" s="22"/>
      <c r="AK40" s="578" t="s">
        <v>49</v>
      </c>
      <c r="AL40" s="564">
        <v>580</v>
      </c>
      <c r="AM40" s="468"/>
    </row>
    <row r="41" spans="1:39" ht="13.5" customHeight="1">
      <c r="A41" s="468"/>
      <c r="B41" s="426"/>
      <c r="C41" s="553"/>
      <c r="D41" s="22"/>
      <c r="E41" s="549"/>
      <c r="F41" s="441" t="s">
        <v>20</v>
      </c>
      <c r="G41" s="440">
        <v>1.272</v>
      </c>
      <c r="H41" s="440">
        <v>1.304</v>
      </c>
      <c r="I41" s="440">
        <v>1.336</v>
      </c>
      <c r="J41" s="577"/>
      <c r="K41" s="22"/>
      <c r="L41" s="578"/>
      <c r="M41" s="564"/>
      <c r="N41" s="468"/>
      <c r="O41" s="426"/>
      <c r="P41" s="553"/>
      <c r="Q41" s="22"/>
      <c r="R41" s="549"/>
      <c r="S41" s="441" t="s">
        <v>20</v>
      </c>
      <c r="T41" s="440">
        <v>1.272</v>
      </c>
      <c r="U41" s="440">
        <v>1.304</v>
      </c>
      <c r="V41" s="440">
        <v>1.336</v>
      </c>
      <c r="W41" s="577"/>
      <c r="X41" s="22"/>
      <c r="Y41" s="578"/>
      <c r="Z41" s="564"/>
      <c r="AA41" s="468"/>
      <c r="AB41" s="426"/>
      <c r="AC41" s="553"/>
      <c r="AD41" s="22"/>
      <c r="AE41" s="554"/>
      <c r="AF41" s="579" t="str">
        <f>LEFT(J42,4)</f>
        <v>1241</v>
      </c>
      <c r="AG41" s="579" t="str">
        <f>LEFT(W42,4)</f>
        <v>1061</v>
      </c>
      <c r="AH41" s="579">
        <f>AF41-AG41</f>
        <v>180</v>
      </c>
      <c r="AI41" s="581">
        <f>ROUND((100/AG41*AH41/100),2)</f>
        <v>0.17</v>
      </c>
      <c r="AJ41" s="22"/>
      <c r="AK41" s="578"/>
      <c r="AL41" s="564"/>
      <c r="AM41" s="468"/>
    </row>
    <row r="42" spans="1:39" ht="13.5" customHeight="1">
      <c r="A42" s="468"/>
      <c r="B42" s="426"/>
      <c r="C42" s="553"/>
      <c r="D42" s="22"/>
      <c r="E42" s="549"/>
      <c r="F42" s="441" t="s">
        <v>42</v>
      </c>
      <c r="G42" s="440">
        <v>1.26</v>
      </c>
      <c r="H42" s="440">
        <v>1.292</v>
      </c>
      <c r="I42" s="440">
        <v>1.323</v>
      </c>
      <c r="J42" s="446" t="s">
        <v>420</v>
      </c>
      <c r="K42" s="22"/>
      <c r="L42" s="578"/>
      <c r="M42" s="564"/>
      <c r="N42" s="468"/>
      <c r="O42" s="426"/>
      <c r="P42" s="553"/>
      <c r="Q42" s="22"/>
      <c r="R42" s="549"/>
      <c r="S42" s="441" t="s">
        <v>42</v>
      </c>
      <c r="T42" s="440">
        <v>1.26</v>
      </c>
      <c r="U42" s="440">
        <v>1.292</v>
      </c>
      <c r="V42" s="440">
        <v>1.323</v>
      </c>
      <c r="W42" s="446" t="s">
        <v>311</v>
      </c>
      <c r="X42" s="22"/>
      <c r="Y42" s="578"/>
      <c r="Z42" s="564"/>
      <c r="AA42" s="468"/>
      <c r="AB42" s="426"/>
      <c r="AC42" s="553"/>
      <c r="AD42" s="22"/>
      <c r="AE42" s="554"/>
      <c r="AF42" s="580"/>
      <c r="AG42" s="580"/>
      <c r="AH42" s="580"/>
      <c r="AI42" s="582"/>
      <c r="AJ42" s="22"/>
      <c r="AK42" s="578"/>
      <c r="AL42" s="564"/>
      <c r="AM42" s="468"/>
    </row>
    <row r="43" spans="1:39" ht="13.5" customHeight="1">
      <c r="A43" s="468"/>
      <c r="B43" s="426"/>
      <c r="C43" s="553"/>
      <c r="D43" s="22"/>
      <c r="E43" s="583" t="s">
        <v>51</v>
      </c>
      <c r="F43" s="439" t="s">
        <v>19</v>
      </c>
      <c r="G43" s="440">
        <v>1.7850000000000001</v>
      </c>
      <c r="H43" s="440">
        <v>1.83</v>
      </c>
      <c r="I43" s="440">
        <v>1.874</v>
      </c>
      <c r="J43" s="576">
        <v>6222</v>
      </c>
      <c r="K43" s="22"/>
      <c r="L43" s="578"/>
      <c r="M43" s="564"/>
      <c r="N43" s="468"/>
      <c r="O43" s="426"/>
      <c r="P43" s="553"/>
      <c r="Q43" s="22"/>
      <c r="R43" s="583" t="s">
        <v>51</v>
      </c>
      <c r="S43" s="439" t="s">
        <v>19</v>
      </c>
      <c r="T43" s="440">
        <v>1.7850000000000001</v>
      </c>
      <c r="U43" s="440">
        <v>1.83</v>
      </c>
      <c r="V43" s="440">
        <v>1.874</v>
      </c>
      <c r="W43" s="576">
        <v>5318</v>
      </c>
      <c r="X43" s="22"/>
      <c r="Y43" s="578"/>
      <c r="Z43" s="564"/>
      <c r="AA43" s="468"/>
      <c r="AB43" s="426"/>
      <c r="AC43" s="553"/>
      <c r="AD43" s="22"/>
      <c r="AE43" s="584" t="s">
        <v>51</v>
      </c>
      <c r="AF43" s="437">
        <f>J43</f>
        <v>6222</v>
      </c>
      <c r="AG43" s="437">
        <f>W43</f>
        <v>5318</v>
      </c>
      <c r="AH43" s="437">
        <f>AF43-AG43</f>
        <v>904</v>
      </c>
      <c r="AI43" s="438">
        <f>ROUND((100/AG43*AH43/100),2)</f>
        <v>0.17</v>
      </c>
      <c r="AJ43" s="22"/>
      <c r="AK43" s="578"/>
      <c r="AL43" s="564"/>
      <c r="AM43" s="468"/>
    </row>
    <row r="44" spans="1:39" ht="13.5" customHeight="1">
      <c r="A44" s="468"/>
      <c r="B44" s="426"/>
      <c r="C44" s="553"/>
      <c r="D44" s="22"/>
      <c r="E44" s="583"/>
      <c r="F44" s="441" t="s">
        <v>20</v>
      </c>
      <c r="G44" s="440">
        <v>1.7770000000000001</v>
      </c>
      <c r="H44" s="440">
        <v>1.8210000000000002</v>
      </c>
      <c r="I44" s="440">
        <v>1.866</v>
      </c>
      <c r="J44" s="577"/>
      <c r="K44" s="22"/>
      <c r="L44" s="578"/>
      <c r="M44" s="564"/>
      <c r="N44" s="468"/>
      <c r="O44" s="426"/>
      <c r="P44" s="553"/>
      <c r="Q44" s="22"/>
      <c r="R44" s="583"/>
      <c r="S44" s="441" t="s">
        <v>20</v>
      </c>
      <c r="T44" s="440">
        <v>1.7770000000000001</v>
      </c>
      <c r="U44" s="440">
        <v>1.8210000000000002</v>
      </c>
      <c r="V44" s="440">
        <v>1.866</v>
      </c>
      <c r="W44" s="577"/>
      <c r="X44" s="22"/>
      <c r="Y44" s="578"/>
      <c r="Z44" s="564"/>
      <c r="AA44" s="468"/>
      <c r="AB44" s="426"/>
      <c r="AC44" s="553"/>
      <c r="AD44" s="22"/>
      <c r="AE44" s="584"/>
      <c r="AF44" s="579" t="str">
        <f>LEFT(J45,4)</f>
        <v>1241</v>
      </c>
      <c r="AG44" s="579" t="str">
        <f>LEFT(W45,4)</f>
        <v>1061</v>
      </c>
      <c r="AH44" s="579">
        <f>AF44-AG44</f>
        <v>180</v>
      </c>
      <c r="AI44" s="581">
        <f>ROUND((100/AG44*AH44/100),2)</f>
        <v>0.17</v>
      </c>
      <c r="AJ44" s="22"/>
      <c r="AK44" s="578"/>
      <c r="AL44" s="564"/>
      <c r="AM44" s="468"/>
    </row>
    <row r="45" spans="1:39" ht="13.5" customHeight="1">
      <c r="A45" s="468"/>
      <c r="B45" s="426"/>
      <c r="C45" s="553"/>
      <c r="D45" s="22"/>
      <c r="E45" s="583"/>
      <c r="F45" s="441" t="s">
        <v>42</v>
      </c>
      <c r="G45" s="440">
        <v>1.759</v>
      </c>
      <c r="H45" s="440">
        <v>1.803</v>
      </c>
      <c r="I45" s="440">
        <v>1.847</v>
      </c>
      <c r="J45" s="446" t="s">
        <v>420</v>
      </c>
      <c r="K45" s="22"/>
      <c r="L45" s="578"/>
      <c r="M45" s="564"/>
      <c r="N45" s="468"/>
      <c r="O45" s="426"/>
      <c r="P45" s="553"/>
      <c r="Q45" s="22"/>
      <c r="R45" s="583"/>
      <c r="S45" s="441" t="s">
        <v>42</v>
      </c>
      <c r="T45" s="440">
        <v>1.759</v>
      </c>
      <c r="U45" s="440">
        <v>1.803</v>
      </c>
      <c r="V45" s="440">
        <v>1.847</v>
      </c>
      <c r="W45" s="446" t="s">
        <v>311</v>
      </c>
      <c r="X45" s="22"/>
      <c r="Y45" s="578"/>
      <c r="Z45" s="564"/>
      <c r="AA45" s="468"/>
      <c r="AB45" s="426"/>
      <c r="AC45" s="553"/>
      <c r="AD45" s="22"/>
      <c r="AE45" s="584"/>
      <c r="AF45" s="580"/>
      <c r="AG45" s="580"/>
      <c r="AH45" s="580"/>
      <c r="AI45" s="582"/>
      <c r="AJ45" s="22"/>
      <c r="AK45" s="578"/>
      <c r="AL45" s="564"/>
      <c r="AM45" s="468"/>
    </row>
    <row r="46" spans="1:39" ht="3.75" customHeight="1">
      <c r="A46" s="468"/>
      <c r="B46" s="426"/>
      <c r="C46" s="24"/>
      <c r="D46" s="24"/>
      <c r="E46" s="29"/>
      <c r="F46" s="20"/>
      <c r="G46" s="20"/>
      <c r="H46" s="20"/>
      <c r="I46" s="20"/>
      <c r="J46" s="26"/>
      <c r="K46" s="24"/>
      <c r="L46" s="27"/>
      <c r="M46" s="429"/>
      <c r="N46" s="468"/>
      <c r="O46" s="426"/>
      <c r="P46" s="24"/>
      <c r="Q46" s="24"/>
      <c r="R46" s="29"/>
      <c r="S46" s="20"/>
      <c r="T46" s="20"/>
      <c r="U46" s="20"/>
      <c r="V46" s="20"/>
      <c r="W46" s="26"/>
      <c r="X46" s="24"/>
      <c r="Y46" s="27"/>
      <c r="Z46" s="429"/>
      <c r="AA46" s="468"/>
      <c r="AB46" s="426"/>
      <c r="AC46" s="24"/>
      <c r="AD46" s="24"/>
      <c r="AE46" s="29"/>
      <c r="AF46" s="21"/>
      <c r="AG46" s="21"/>
      <c r="AH46" s="21"/>
      <c r="AI46" s="28"/>
      <c r="AJ46" s="24"/>
      <c r="AK46" s="27"/>
      <c r="AL46" s="429"/>
      <c r="AM46" s="468"/>
    </row>
    <row r="47" spans="1:39" ht="15.75" customHeight="1">
      <c r="A47" s="468"/>
      <c r="B47" s="426"/>
      <c r="C47" s="540" t="s">
        <v>52</v>
      </c>
      <c r="D47" s="541"/>
      <c r="E47" s="542"/>
      <c r="F47" s="419" t="s">
        <v>29</v>
      </c>
      <c r="G47" s="419" t="s">
        <v>12</v>
      </c>
      <c r="H47" s="419" t="s">
        <v>30</v>
      </c>
      <c r="I47" s="419" t="s">
        <v>31</v>
      </c>
      <c r="J47" s="543" t="s">
        <v>15</v>
      </c>
      <c r="K47" s="544"/>
      <c r="L47" s="545"/>
      <c r="M47" s="430"/>
      <c r="N47" s="468"/>
      <c r="O47" s="426"/>
      <c r="P47" s="540" t="s">
        <v>52</v>
      </c>
      <c r="Q47" s="541"/>
      <c r="R47" s="542"/>
      <c r="S47" s="419" t="s">
        <v>29</v>
      </c>
      <c r="T47" s="419" t="s">
        <v>12</v>
      </c>
      <c r="U47" s="419" t="s">
        <v>30</v>
      </c>
      <c r="V47" s="419" t="s">
        <v>31</v>
      </c>
      <c r="W47" s="543" t="s">
        <v>15</v>
      </c>
      <c r="X47" s="544"/>
      <c r="Y47" s="545"/>
      <c r="Z47" s="430"/>
      <c r="AA47" s="468"/>
      <c r="AB47" s="426"/>
      <c r="AC47" s="540" t="s">
        <v>52</v>
      </c>
      <c r="AD47" s="541"/>
      <c r="AE47" s="542"/>
      <c r="AF47" s="420" t="str">
        <f>AF25</f>
        <v>2018-19</v>
      </c>
      <c r="AG47" s="420" t="str">
        <f>AG25</f>
        <v>2017-18</v>
      </c>
      <c r="AH47" s="420" t="str">
        <f>AH25</f>
        <v>Diff in Prem</v>
      </c>
      <c r="AI47" s="543" t="s">
        <v>16</v>
      </c>
      <c r="AJ47" s="544"/>
      <c r="AK47" s="545"/>
      <c r="AL47" s="430"/>
      <c r="AM47" s="468"/>
    </row>
    <row r="48" spans="1:39" ht="3.75" customHeight="1">
      <c r="A48" s="468"/>
      <c r="B48" s="426"/>
      <c r="C48" s="20"/>
      <c r="D48" s="20"/>
      <c r="E48" s="20"/>
      <c r="F48" s="20"/>
      <c r="G48" s="20"/>
      <c r="H48" s="20"/>
      <c r="I48" s="20"/>
      <c r="J48" s="20"/>
      <c r="K48" s="20"/>
      <c r="L48" s="20"/>
      <c r="M48" s="429"/>
      <c r="N48" s="468"/>
      <c r="O48" s="426"/>
      <c r="P48" s="20"/>
      <c r="Q48" s="20"/>
      <c r="R48" s="20"/>
      <c r="S48" s="20"/>
      <c r="T48" s="20"/>
      <c r="U48" s="20"/>
      <c r="V48" s="20"/>
      <c r="W48" s="20"/>
      <c r="X48" s="20"/>
      <c r="Y48" s="20"/>
      <c r="Z48" s="429"/>
      <c r="AA48" s="468"/>
      <c r="AB48" s="426"/>
      <c r="AC48" s="20"/>
      <c r="AD48" s="20"/>
      <c r="AE48" s="20"/>
      <c r="AF48" s="21"/>
      <c r="AG48" s="21"/>
      <c r="AH48" s="21"/>
      <c r="AI48" s="21"/>
      <c r="AJ48" s="20"/>
      <c r="AK48" s="20"/>
      <c r="AL48" s="429"/>
      <c r="AM48" s="468"/>
    </row>
    <row r="49" spans="1:39" ht="13.5" customHeight="1">
      <c r="A49" s="468"/>
      <c r="B49" s="426"/>
      <c r="C49" s="585" t="s">
        <v>53</v>
      </c>
      <c r="D49" s="22"/>
      <c r="E49" s="453" t="s">
        <v>54</v>
      </c>
      <c r="F49" s="454" t="s">
        <v>19</v>
      </c>
      <c r="G49" s="455">
        <v>1.751</v>
      </c>
      <c r="H49" s="455">
        <v>1.795</v>
      </c>
      <c r="I49" s="455">
        <v>1.839</v>
      </c>
      <c r="J49" s="456">
        <v>14390</v>
      </c>
      <c r="K49" s="23"/>
      <c r="L49" s="586" t="s">
        <v>53</v>
      </c>
      <c r="M49" s="552"/>
      <c r="N49" s="468"/>
      <c r="O49" s="426"/>
      <c r="P49" s="585" t="s">
        <v>53</v>
      </c>
      <c r="Q49" s="22"/>
      <c r="R49" s="453" t="s">
        <v>54</v>
      </c>
      <c r="S49" s="454" t="s">
        <v>19</v>
      </c>
      <c r="T49" s="455">
        <v>1.751</v>
      </c>
      <c r="U49" s="455">
        <v>1.795</v>
      </c>
      <c r="V49" s="455">
        <v>1.839</v>
      </c>
      <c r="W49" s="456">
        <v>14390</v>
      </c>
      <c r="X49" s="23"/>
      <c r="Y49" s="586" t="s">
        <v>53</v>
      </c>
      <c r="Z49" s="552"/>
      <c r="AA49" s="468"/>
      <c r="AB49" s="426"/>
      <c r="AC49" s="585" t="s">
        <v>53</v>
      </c>
      <c r="AD49" s="22"/>
      <c r="AE49" s="448" t="s">
        <v>54</v>
      </c>
      <c r="AF49" s="449">
        <f>J49</f>
        <v>14390</v>
      </c>
      <c r="AG49" s="449">
        <f>W49</f>
        <v>14390</v>
      </c>
      <c r="AH49" s="449">
        <f>AF49-AG49</f>
        <v>0</v>
      </c>
      <c r="AI49" s="450">
        <f>ROUND((100/AG49*AH49/100),2)</f>
        <v>0</v>
      </c>
      <c r="AJ49" s="23"/>
      <c r="AK49" s="586" t="s">
        <v>53</v>
      </c>
      <c r="AL49" s="552"/>
      <c r="AM49" s="468"/>
    </row>
    <row r="50" spans="1:39" ht="13.5" customHeight="1">
      <c r="A50" s="468"/>
      <c r="B50" s="426"/>
      <c r="C50" s="585"/>
      <c r="D50" s="22"/>
      <c r="E50" s="453" t="s">
        <v>55</v>
      </c>
      <c r="F50" s="457" t="s">
        <v>20</v>
      </c>
      <c r="G50" s="455">
        <v>1.7429999999999999</v>
      </c>
      <c r="H50" s="455">
        <v>1.787</v>
      </c>
      <c r="I50" s="455">
        <v>1.83</v>
      </c>
      <c r="J50" s="456">
        <v>24190</v>
      </c>
      <c r="K50" s="23"/>
      <c r="L50" s="586"/>
      <c r="M50" s="552"/>
      <c r="N50" s="468"/>
      <c r="O50" s="426"/>
      <c r="P50" s="585"/>
      <c r="Q50" s="22"/>
      <c r="R50" s="453" t="s">
        <v>55</v>
      </c>
      <c r="S50" s="457" t="s">
        <v>20</v>
      </c>
      <c r="T50" s="455">
        <v>1.7429999999999999</v>
      </c>
      <c r="U50" s="455">
        <v>1.787</v>
      </c>
      <c r="V50" s="455">
        <v>1.83</v>
      </c>
      <c r="W50" s="456">
        <v>19667</v>
      </c>
      <c r="X50" s="23"/>
      <c r="Y50" s="586"/>
      <c r="Z50" s="552"/>
      <c r="AA50" s="468"/>
      <c r="AB50" s="426"/>
      <c r="AC50" s="585"/>
      <c r="AD50" s="22"/>
      <c r="AE50" s="448" t="s">
        <v>55</v>
      </c>
      <c r="AF50" s="449">
        <f>J50</f>
        <v>24190</v>
      </c>
      <c r="AG50" s="449">
        <f>W50</f>
        <v>19667</v>
      </c>
      <c r="AH50" s="449">
        <f>AF50-AG50</f>
        <v>4523</v>
      </c>
      <c r="AI50" s="450">
        <f>ROUND((100/AG50*AH50/100),2)</f>
        <v>0.23</v>
      </c>
      <c r="AJ50" s="23"/>
      <c r="AK50" s="586"/>
      <c r="AL50" s="552"/>
      <c r="AM50" s="468"/>
    </row>
    <row r="51" spans="1:39" ht="13.5" customHeight="1">
      <c r="A51" s="468"/>
      <c r="B51" s="426"/>
      <c r="C51" s="585"/>
      <c r="D51" s="22"/>
      <c r="E51" s="453" t="s">
        <v>56</v>
      </c>
      <c r="F51" s="457" t="s">
        <v>42</v>
      </c>
      <c r="G51" s="455">
        <v>1.726</v>
      </c>
      <c r="H51" s="455">
        <v>1.77</v>
      </c>
      <c r="I51" s="455">
        <v>1.812</v>
      </c>
      <c r="J51" s="456">
        <v>32367</v>
      </c>
      <c r="K51" s="23"/>
      <c r="L51" s="586"/>
      <c r="M51" s="552"/>
      <c r="N51" s="468"/>
      <c r="O51" s="426"/>
      <c r="P51" s="585"/>
      <c r="Q51" s="22"/>
      <c r="R51" s="453" t="s">
        <v>56</v>
      </c>
      <c r="S51" s="457" t="s">
        <v>42</v>
      </c>
      <c r="T51" s="455">
        <v>1.726</v>
      </c>
      <c r="U51" s="455">
        <v>1.77</v>
      </c>
      <c r="V51" s="455">
        <v>1.812</v>
      </c>
      <c r="W51" s="456">
        <v>28899</v>
      </c>
      <c r="X51" s="23"/>
      <c r="Y51" s="586"/>
      <c r="Z51" s="552"/>
      <c r="AA51" s="468"/>
      <c r="AB51" s="426"/>
      <c r="AC51" s="585"/>
      <c r="AD51" s="22"/>
      <c r="AE51" s="448" t="s">
        <v>56</v>
      </c>
      <c r="AF51" s="449">
        <f>J51</f>
        <v>32367</v>
      </c>
      <c r="AG51" s="449">
        <f>W51</f>
        <v>28899</v>
      </c>
      <c r="AH51" s="449">
        <f>AF51-AG51</f>
        <v>3468</v>
      </c>
      <c r="AI51" s="450">
        <f>ROUND((100/AG51*AH51/100),2)</f>
        <v>0.12</v>
      </c>
      <c r="AJ51" s="23"/>
      <c r="AK51" s="586"/>
      <c r="AL51" s="552"/>
      <c r="AM51" s="468"/>
    </row>
    <row r="52" spans="1:39" ht="13.5" customHeight="1">
      <c r="A52" s="468"/>
      <c r="B52" s="426"/>
      <c r="C52" s="585"/>
      <c r="D52" s="22"/>
      <c r="E52" s="453" t="s">
        <v>57</v>
      </c>
      <c r="F52" s="587" t="str">
        <f>F37</f>
        <v>Zonal Rates on OD part, App as above</v>
      </c>
      <c r="G52" s="587"/>
      <c r="H52" s="587"/>
      <c r="I52" s="587"/>
      <c r="J52" s="456">
        <v>39849</v>
      </c>
      <c r="K52" s="23"/>
      <c r="L52" s="586"/>
      <c r="M52" s="552"/>
      <c r="N52" s="468"/>
      <c r="O52" s="426"/>
      <c r="P52" s="585"/>
      <c r="Q52" s="22"/>
      <c r="R52" s="453" t="s">
        <v>57</v>
      </c>
      <c r="S52" s="587" t="str">
        <f>S37</f>
        <v>Zonal Rates on OD part, App as above</v>
      </c>
      <c r="T52" s="587"/>
      <c r="U52" s="587"/>
      <c r="V52" s="587"/>
      <c r="W52" s="456">
        <v>31626</v>
      </c>
      <c r="X52" s="23"/>
      <c r="Y52" s="586"/>
      <c r="Z52" s="552"/>
      <c r="AA52" s="468"/>
      <c r="AB52" s="426"/>
      <c r="AC52" s="585"/>
      <c r="AD52" s="22"/>
      <c r="AE52" s="448" t="s">
        <v>57</v>
      </c>
      <c r="AF52" s="449">
        <f>J52</f>
        <v>39849</v>
      </c>
      <c r="AG52" s="449">
        <f>W52</f>
        <v>31626</v>
      </c>
      <c r="AH52" s="449">
        <f>AF52-AG52</f>
        <v>8223</v>
      </c>
      <c r="AI52" s="450">
        <f>ROUND((100/AG52*AH52/100),2)</f>
        <v>0.26</v>
      </c>
      <c r="AJ52" s="23"/>
      <c r="AK52" s="586"/>
      <c r="AL52" s="552"/>
      <c r="AM52" s="468"/>
    </row>
    <row r="53" spans="1:39" ht="13.5" customHeight="1">
      <c r="A53" s="468"/>
      <c r="B53" s="426"/>
      <c r="C53" s="585"/>
      <c r="D53" s="22"/>
      <c r="E53" s="453" t="s">
        <v>58</v>
      </c>
      <c r="F53" s="587" t="str">
        <f>F59</f>
        <v>Beyond 12000 Kgs, 27/- per 100 Kgs</v>
      </c>
      <c r="G53" s="587"/>
      <c r="H53" s="587"/>
      <c r="I53" s="587"/>
      <c r="J53" s="456">
        <v>38308</v>
      </c>
      <c r="K53" s="23"/>
      <c r="L53" s="586"/>
      <c r="M53" s="552"/>
      <c r="N53" s="468"/>
      <c r="O53" s="426"/>
      <c r="P53" s="585"/>
      <c r="Q53" s="22"/>
      <c r="R53" s="453" t="s">
        <v>58</v>
      </c>
      <c r="S53" s="587" t="str">
        <f>S59</f>
        <v>Beyond 12000 Kgs, 27/- per 100 Kgs</v>
      </c>
      <c r="T53" s="587"/>
      <c r="U53" s="587"/>
      <c r="V53" s="587"/>
      <c r="W53" s="456">
        <v>33024</v>
      </c>
      <c r="X53" s="23"/>
      <c r="Y53" s="586"/>
      <c r="Z53" s="552"/>
      <c r="AA53" s="468"/>
      <c r="AB53" s="426"/>
      <c r="AC53" s="585"/>
      <c r="AD53" s="22"/>
      <c r="AE53" s="448" t="s">
        <v>58</v>
      </c>
      <c r="AF53" s="449">
        <f>J53</f>
        <v>38308</v>
      </c>
      <c r="AG53" s="449">
        <f>W53</f>
        <v>33024</v>
      </c>
      <c r="AH53" s="449">
        <f>AF53-AG53</f>
        <v>5284</v>
      </c>
      <c r="AI53" s="450">
        <f>ROUND((100/AG53*AH53/100),2)</f>
        <v>0.16</v>
      </c>
      <c r="AJ53" s="23"/>
      <c r="AK53" s="586"/>
      <c r="AL53" s="552"/>
      <c r="AM53" s="468"/>
    </row>
    <row r="54" spans="1:39" ht="3.75" customHeight="1">
      <c r="A54" s="468"/>
      <c r="B54" s="426"/>
      <c r="C54" s="24"/>
      <c r="D54" s="24"/>
      <c r="E54" s="30"/>
      <c r="F54" s="20"/>
      <c r="G54" s="20"/>
      <c r="H54" s="20"/>
      <c r="I54" s="20"/>
      <c r="J54" s="26"/>
      <c r="K54" s="24"/>
      <c r="L54" s="27"/>
      <c r="M54" s="429"/>
      <c r="N54" s="468"/>
      <c r="O54" s="426"/>
      <c r="P54" s="24"/>
      <c r="Q54" s="24"/>
      <c r="R54" s="30"/>
      <c r="S54" s="20"/>
      <c r="T54" s="20"/>
      <c r="U54" s="20"/>
      <c r="V54" s="20"/>
      <c r="W54" s="26"/>
      <c r="X54" s="24"/>
      <c r="Y54" s="27"/>
      <c r="Z54" s="429"/>
      <c r="AA54" s="468"/>
      <c r="AB54" s="426"/>
      <c r="AC54" s="24"/>
      <c r="AD54" s="24"/>
      <c r="AE54" s="30"/>
      <c r="AF54" s="21"/>
      <c r="AG54" s="21"/>
      <c r="AH54" s="21"/>
      <c r="AI54" s="28"/>
      <c r="AJ54" s="24"/>
      <c r="AK54" s="27"/>
      <c r="AL54" s="429"/>
      <c r="AM54" s="468"/>
    </row>
    <row r="55" spans="1:39" ht="13.5" customHeight="1">
      <c r="A55" s="468"/>
      <c r="B55" s="426"/>
      <c r="C55" s="588" t="s">
        <v>59</v>
      </c>
      <c r="D55" s="22"/>
      <c r="E55" s="458" t="s">
        <v>54</v>
      </c>
      <c r="F55" s="459" t="s">
        <v>19</v>
      </c>
      <c r="G55" s="460">
        <v>1.226</v>
      </c>
      <c r="H55" s="460">
        <v>1.2570000000000001</v>
      </c>
      <c r="I55" s="460">
        <v>1.287</v>
      </c>
      <c r="J55" s="461">
        <v>7144</v>
      </c>
      <c r="K55" s="23"/>
      <c r="L55" s="589" t="s">
        <v>59</v>
      </c>
      <c r="M55" s="552"/>
      <c r="N55" s="468"/>
      <c r="O55" s="426"/>
      <c r="P55" s="588" t="s">
        <v>59</v>
      </c>
      <c r="Q55" s="22"/>
      <c r="R55" s="458" t="s">
        <v>54</v>
      </c>
      <c r="S55" s="459" t="s">
        <v>19</v>
      </c>
      <c r="T55" s="460">
        <v>1.226</v>
      </c>
      <c r="U55" s="460">
        <v>1.2570000000000001</v>
      </c>
      <c r="V55" s="460">
        <v>1.287</v>
      </c>
      <c r="W55" s="461">
        <v>7938</v>
      </c>
      <c r="X55" s="23"/>
      <c r="Y55" s="589" t="s">
        <v>59</v>
      </c>
      <c r="Z55" s="552"/>
      <c r="AA55" s="468"/>
      <c r="AB55" s="426"/>
      <c r="AC55" s="588" t="s">
        <v>59</v>
      </c>
      <c r="AD55" s="22"/>
      <c r="AE55" s="451" t="s">
        <v>54</v>
      </c>
      <c r="AF55" s="437">
        <f>J55</f>
        <v>7144</v>
      </c>
      <c r="AG55" s="437">
        <f>W55</f>
        <v>7938</v>
      </c>
      <c r="AH55" s="437">
        <f>AF55-AG55</f>
        <v>-794</v>
      </c>
      <c r="AI55" s="438">
        <f>ROUND((100/AG55*AH55/100),2)</f>
        <v>-0.1</v>
      </c>
      <c r="AJ55" s="23"/>
      <c r="AK55" s="589" t="s">
        <v>59</v>
      </c>
      <c r="AL55" s="552"/>
      <c r="AM55" s="468"/>
    </row>
    <row r="56" spans="1:39" ht="13.5" customHeight="1">
      <c r="A56" s="468"/>
      <c r="B56" s="426"/>
      <c r="C56" s="588"/>
      <c r="D56" s="22"/>
      <c r="E56" s="458" t="s">
        <v>55</v>
      </c>
      <c r="F56" s="462" t="s">
        <v>20</v>
      </c>
      <c r="G56" s="460">
        <v>1.22</v>
      </c>
      <c r="H56" s="460">
        <v>1.251</v>
      </c>
      <c r="I56" s="460">
        <v>1.2810000000000001</v>
      </c>
      <c r="J56" s="461">
        <v>15620</v>
      </c>
      <c r="K56" s="23"/>
      <c r="L56" s="589"/>
      <c r="M56" s="552"/>
      <c r="N56" s="468"/>
      <c r="O56" s="426"/>
      <c r="P56" s="588"/>
      <c r="Q56" s="22"/>
      <c r="R56" s="458" t="s">
        <v>55</v>
      </c>
      <c r="S56" s="462" t="s">
        <v>20</v>
      </c>
      <c r="T56" s="460">
        <v>1.22</v>
      </c>
      <c r="U56" s="460">
        <v>1.251</v>
      </c>
      <c r="V56" s="460">
        <v>1.2810000000000001</v>
      </c>
      <c r="W56" s="461">
        <v>14330</v>
      </c>
      <c r="X56" s="23"/>
      <c r="Y56" s="589"/>
      <c r="Z56" s="552"/>
      <c r="AA56" s="468"/>
      <c r="AB56" s="426"/>
      <c r="AC56" s="588"/>
      <c r="AD56" s="22"/>
      <c r="AE56" s="451" t="s">
        <v>55</v>
      </c>
      <c r="AF56" s="437">
        <f>J56</f>
        <v>15620</v>
      </c>
      <c r="AG56" s="437">
        <f>W56</f>
        <v>14330</v>
      </c>
      <c r="AH56" s="437">
        <f>AF56-AG56</f>
        <v>1290</v>
      </c>
      <c r="AI56" s="438">
        <f>ROUND((100/AG56*AH56/100),2)</f>
        <v>0.09</v>
      </c>
      <c r="AJ56" s="23"/>
      <c r="AK56" s="589"/>
      <c r="AL56" s="552"/>
      <c r="AM56" s="468"/>
    </row>
    <row r="57" spans="1:39" ht="13.5" customHeight="1">
      <c r="A57" s="468"/>
      <c r="B57" s="426"/>
      <c r="C57" s="588"/>
      <c r="D57" s="22"/>
      <c r="E57" s="458" t="s">
        <v>56</v>
      </c>
      <c r="F57" s="462" t="s">
        <v>42</v>
      </c>
      <c r="G57" s="460">
        <v>1.208</v>
      </c>
      <c r="H57" s="460">
        <v>1.239</v>
      </c>
      <c r="I57" s="460">
        <v>1.268</v>
      </c>
      <c r="J57" s="461">
        <v>9871</v>
      </c>
      <c r="K57" s="23"/>
      <c r="L57" s="589"/>
      <c r="M57" s="552"/>
      <c r="N57" s="468"/>
      <c r="O57" s="426"/>
      <c r="P57" s="588"/>
      <c r="Q57" s="22"/>
      <c r="R57" s="458" t="s">
        <v>56</v>
      </c>
      <c r="S57" s="462" t="s">
        <v>42</v>
      </c>
      <c r="T57" s="460">
        <v>1.208</v>
      </c>
      <c r="U57" s="460">
        <v>1.239</v>
      </c>
      <c r="V57" s="460">
        <v>1.268</v>
      </c>
      <c r="W57" s="461">
        <v>9871</v>
      </c>
      <c r="X57" s="23"/>
      <c r="Y57" s="589"/>
      <c r="Z57" s="552"/>
      <c r="AA57" s="468"/>
      <c r="AB57" s="426"/>
      <c r="AC57" s="588"/>
      <c r="AD57" s="22"/>
      <c r="AE57" s="451" t="s">
        <v>56</v>
      </c>
      <c r="AF57" s="437">
        <f>J57</f>
        <v>9871</v>
      </c>
      <c r="AG57" s="437">
        <f>W57</f>
        <v>9871</v>
      </c>
      <c r="AH57" s="437">
        <f>AF57-AG57</f>
        <v>0</v>
      </c>
      <c r="AI57" s="438">
        <f>ROUND((100/AG57*AH57/100),2)</f>
        <v>0</v>
      </c>
      <c r="AJ57" s="23"/>
      <c r="AK57" s="589"/>
      <c r="AL57" s="552"/>
      <c r="AM57" s="468"/>
    </row>
    <row r="58" spans="1:39" ht="13.5" customHeight="1">
      <c r="A58" s="468"/>
      <c r="B58" s="426"/>
      <c r="C58" s="588"/>
      <c r="D58" s="22"/>
      <c r="E58" s="458" t="s">
        <v>57</v>
      </c>
      <c r="F58" s="590" t="str">
        <f>F52</f>
        <v>Zonal Rates on OD part, App as above</v>
      </c>
      <c r="G58" s="590"/>
      <c r="H58" s="590"/>
      <c r="I58" s="590"/>
      <c r="J58" s="461">
        <v>15397</v>
      </c>
      <c r="K58" s="23"/>
      <c r="L58" s="589"/>
      <c r="M58" s="552"/>
      <c r="N58" s="468"/>
      <c r="O58" s="426"/>
      <c r="P58" s="588"/>
      <c r="Q58" s="22"/>
      <c r="R58" s="458" t="s">
        <v>57</v>
      </c>
      <c r="S58" s="590" t="str">
        <f>S52</f>
        <v>Zonal Rates on OD part, App as above</v>
      </c>
      <c r="T58" s="590"/>
      <c r="U58" s="590"/>
      <c r="V58" s="590"/>
      <c r="W58" s="461">
        <v>14805</v>
      </c>
      <c r="X58" s="23"/>
      <c r="Y58" s="589"/>
      <c r="Z58" s="552"/>
      <c r="AA58" s="468"/>
      <c r="AB58" s="426"/>
      <c r="AC58" s="588"/>
      <c r="AD58" s="22"/>
      <c r="AE58" s="451" t="s">
        <v>57</v>
      </c>
      <c r="AF58" s="437">
        <f>J58</f>
        <v>15397</v>
      </c>
      <c r="AG58" s="437">
        <f>W58</f>
        <v>14805</v>
      </c>
      <c r="AH58" s="437">
        <f>AF58-AG58</f>
        <v>592</v>
      </c>
      <c r="AI58" s="438">
        <f>ROUND((100/AG58*AH58/100),2)</f>
        <v>0.04</v>
      </c>
      <c r="AJ58" s="23"/>
      <c r="AK58" s="589"/>
      <c r="AL58" s="552"/>
      <c r="AM58" s="468"/>
    </row>
    <row r="59" spans="1:39" ht="13.5" customHeight="1">
      <c r="A59" s="468"/>
      <c r="B59" s="426"/>
      <c r="C59" s="588"/>
      <c r="D59" s="22"/>
      <c r="E59" s="458" t="s">
        <v>58</v>
      </c>
      <c r="F59" s="590" t="s">
        <v>60</v>
      </c>
      <c r="G59" s="590"/>
      <c r="H59" s="590"/>
      <c r="I59" s="590"/>
      <c r="J59" s="461">
        <v>21318</v>
      </c>
      <c r="K59" s="23"/>
      <c r="L59" s="589"/>
      <c r="M59" s="552"/>
      <c r="N59" s="468"/>
      <c r="O59" s="426"/>
      <c r="P59" s="588"/>
      <c r="Q59" s="22"/>
      <c r="R59" s="458" t="s">
        <v>58</v>
      </c>
      <c r="S59" s="590" t="s">
        <v>60</v>
      </c>
      <c r="T59" s="590"/>
      <c r="U59" s="590"/>
      <c r="V59" s="590"/>
      <c r="W59" s="461">
        <v>21318</v>
      </c>
      <c r="X59" s="23"/>
      <c r="Y59" s="589"/>
      <c r="Z59" s="552"/>
      <c r="AA59" s="468"/>
      <c r="AB59" s="426"/>
      <c r="AC59" s="588"/>
      <c r="AD59" s="22"/>
      <c r="AE59" s="451" t="s">
        <v>58</v>
      </c>
      <c r="AF59" s="437">
        <f>J59</f>
        <v>21318</v>
      </c>
      <c r="AG59" s="437">
        <f>W59</f>
        <v>21318</v>
      </c>
      <c r="AH59" s="437">
        <f>AF59-AG59</f>
        <v>0</v>
      </c>
      <c r="AI59" s="438">
        <f>ROUND((100/AG59*AH59/100),2)</f>
        <v>0</v>
      </c>
      <c r="AJ59" s="23"/>
      <c r="AK59" s="589"/>
      <c r="AL59" s="552"/>
      <c r="AM59" s="468"/>
    </row>
    <row r="60" spans="1:39" ht="3.75" customHeight="1">
      <c r="A60" s="468"/>
      <c r="B60" s="426"/>
      <c r="C60" s="24"/>
      <c r="D60" s="24"/>
      <c r="E60" s="30"/>
      <c r="F60" s="20"/>
      <c r="G60" s="20"/>
      <c r="H60" s="20"/>
      <c r="I60" s="20"/>
      <c r="J60" s="26"/>
      <c r="K60" s="24"/>
      <c r="L60" s="27"/>
      <c r="M60" s="429"/>
      <c r="N60" s="468"/>
      <c r="O60" s="426"/>
      <c r="P60" s="24"/>
      <c r="Q60" s="24"/>
      <c r="R60" s="30"/>
      <c r="S60" s="20"/>
      <c r="T60" s="20"/>
      <c r="U60" s="20"/>
      <c r="V60" s="20"/>
      <c r="W60" s="26"/>
      <c r="X60" s="24"/>
      <c r="Y60" s="27"/>
      <c r="Z60" s="429"/>
      <c r="AA60" s="468"/>
      <c r="AB60" s="426"/>
      <c r="AC60" s="24"/>
      <c r="AD60" s="24"/>
      <c r="AE60" s="30"/>
      <c r="AF60" s="21"/>
      <c r="AG60" s="21"/>
      <c r="AH60" s="21"/>
      <c r="AI60" s="28"/>
      <c r="AJ60" s="24"/>
      <c r="AK60" s="27"/>
      <c r="AL60" s="429"/>
      <c r="AM60" s="468"/>
    </row>
    <row r="61" spans="1:39" ht="14.25" customHeight="1">
      <c r="A61" s="468"/>
      <c r="B61" s="426"/>
      <c r="C61" s="557" t="s">
        <v>49</v>
      </c>
      <c r="D61" s="22"/>
      <c r="E61" s="558" t="s">
        <v>61</v>
      </c>
      <c r="F61" s="442" t="s">
        <v>19</v>
      </c>
      <c r="G61" s="443">
        <v>1.6640000000000001</v>
      </c>
      <c r="H61" s="443">
        <v>1.706</v>
      </c>
      <c r="I61" s="443">
        <v>1.7469999999999999</v>
      </c>
      <c r="J61" s="559">
        <v>4544</v>
      </c>
      <c r="K61" s="23"/>
      <c r="L61" s="566" t="s">
        <v>49</v>
      </c>
      <c r="M61" s="552"/>
      <c r="N61" s="468"/>
      <c r="O61" s="426"/>
      <c r="P61" s="557" t="s">
        <v>49</v>
      </c>
      <c r="Q61" s="22"/>
      <c r="R61" s="558" t="s">
        <v>61</v>
      </c>
      <c r="S61" s="442" t="s">
        <v>19</v>
      </c>
      <c r="T61" s="443">
        <v>1.6640000000000001</v>
      </c>
      <c r="U61" s="443">
        <v>1.706</v>
      </c>
      <c r="V61" s="443">
        <v>1.7469999999999999</v>
      </c>
      <c r="W61" s="559">
        <v>5680</v>
      </c>
      <c r="X61" s="23"/>
      <c r="Y61" s="566" t="s">
        <v>49</v>
      </c>
      <c r="Z61" s="552"/>
      <c r="AA61" s="468"/>
      <c r="AB61" s="426"/>
      <c r="AC61" s="557" t="s">
        <v>49</v>
      </c>
      <c r="AD61" s="22"/>
      <c r="AE61" s="561" t="s">
        <v>61</v>
      </c>
      <c r="AF61" s="591">
        <f>J61</f>
        <v>4544</v>
      </c>
      <c r="AG61" s="591">
        <f>W61</f>
        <v>5680</v>
      </c>
      <c r="AH61" s="591">
        <f>AF61-AG61</f>
        <v>-1136</v>
      </c>
      <c r="AI61" s="594">
        <f>ROUND((100/AG61*AH61/100),2)</f>
        <v>-0.2</v>
      </c>
      <c r="AJ61" s="23"/>
      <c r="AK61" s="566" t="s">
        <v>49</v>
      </c>
      <c r="AL61" s="552"/>
      <c r="AM61" s="468"/>
    </row>
    <row r="62" spans="1:39" ht="14.25" customHeight="1">
      <c r="A62" s="468"/>
      <c r="B62" s="426"/>
      <c r="C62" s="557"/>
      <c r="D62" s="22"/>
      <c r="E62" s="558"/>
      <c r="F62" s="444" t="s">
        <v>20</v>
      </c>
      <c r="G62" s="443">
        <v>1.6560000000000001</v>
      </c>
      <c r="H62" s="443">
        <v>1.697</v>
      </c>
      <c r="I62" s="443">
        <v>1.7389999999999999</v>
      </c>
      <c r="J62" s="559"/>
      <c r="K62" s="23"/>
      <c r="L62" s="566"/>
      <c r="M62" s="552"/>
      <c r="N62" s="468"/>
      <c r="O62" s="426"/>
      <c r="P62" s="557"/>
      <c r="Q62" s="22"/>
      <c r="R62" s="558"/>
      <c r="S62" s="444" t="s">
        <v>20</v>
      </c>
      <c r="T62" s="443">
        <v>1.6560000000000001</v>
      </c>
      <c r="U62" s="443">
        <v>1.697</v>
      </c>
      <c r="V62" s="443">
        <v>1.7389999999999999</v>
      </c>
      <c r="W62" s="559"/>
      <c r="X62" s="23"/>
      <c r="Y62" s="566"/>
      <c r="Z62" s="552"/>
      <c r="AA62" s="468"/>
      <c r="AB62" s="426"/>
      <c r="AC62" s="557"/>
      <c r="AD62" s="22"/>
      <c r="AE62" s="561"/>
      <c r="AF62" s="592"/>
      <c r="AG62" s="592"/>
      <c r="AH62" s="592"/>
      <c r="AI62" s="595"/>
      <c r="AJ62" s="23"/>
      <c r="AK62" s="566"/>
      <c r="AL62" s="552"/>
      <c r="AM62" s="468"/>
    </row>
    <row r="63" spans="1:39" ht="14.25" customHeight="1">
      <c r="A63" s="468"/>
      <c r="B63" s="426"/>
      <c r="C63" s="557"/>
      <c r="D63" s="22"/>
      <c r="E63" s="558"/>
      <c r="F63" s="444" t="s">
        <v>42</v>
      </c>
      <c r="G63" s="443">
        <v>1.64</v>
      </c>
      <c r="H63" s="443">
        <v>1.681</v>
      </c>
      <c r="I63" s="443">
        <v>1.722</v>
      </c>
      <c r="J63" s="559"/>
      <c r="K63" s="23"/>
      <c r="L63" s="566"/>
      <c r="M63" s="552"/>
      <c r="N63" s="468"/>
      <c r="O63" s="426"/>
      <c r="P63" s="557"/>
      <c r="Q63" s="22"/>
      <c r="R63" s="558"/>
      <c r="S63" s="444" t="s">
        <v>42</v>
      </c>
      <c r="T63" s="443">
        <v>1.64</v>
      </c>
      <c r="U63" s="443">
        <v>1.681</v>
      </c>
      <c r="V63" s="443">
        <v>1.722</v>
      </c>
      <c r="W63" s="559"/>
      <c r="X63" s="23"/>
      <c r="Y63" s="566"/>
      <c r="Z63" s="552"/>
      <c r="AA63" s="468"/>
      <c r="AB63" s="426"/>
      <c r="AC63" s="557"/>
      <c r="AD63" s="22"/>
      <c r="AE63" s="561"/>
      <c r="AF63" s="593"/>
      <c r="AG63" s="593"/>
      <c r="AH63" s="593"/>
      <c r="AI63" s="596"/>
      <c r="AJ63" s="23"/>
      <c r="AK63" s="566"/>
      <c r="AL63" s="552"/>
      <c r="AM63" s="468"/>
    </row>
    <row r="64" spans="1:39" ht="14.25" customHeight="1">
      <c r="A64" s="468"/>
      <c r="B64" s="426"/>
      <c r="C64" s="557"/>
      <c r="D64" s="22"/>
      <c r="E64" s="558" t="s">
        <v>62</v>
      </c>
      <c r="F64" s="442" t="s">
        <v>19</v>
      </c>
      <c r="G64" s="443">
        <v>1.165</v>
      </c>
      <c r="H64" s="443">
        <v>1.194</v>
      </c>
      <c r="I64" s="443">
        <v>1.223</v>
      </c>
      <c r="J64" s="559">
        <v>3150</v>
      </c>
      <c r="K64" s="23"/>
      <c r="L64" s="566"/>
      <c r="M64" s="552"/>
      <c r="N64" s="468"/>
      <c r="O64" s="426"/>
      <c r="P64" s="557"/>
      <c r="Q64" s="22"/>
      <c r="R64" s="558" t="s">
        <v>62</v>
      </c>
      <c r="S64" s="442" t="s">
        <v>19</v>
      </c>
      <c r="T64" s="443">
        <v>1.165</v>
      </c>
      <c r="U64" s="443">
        <v>1.194</v>
      </c>
      <c r="V64" s="443">
        <v>1.223</v>
      </c>
      <c r="W64" s="559">
        <v>4200</v>
      </c>
      <c r="X64" s="23"/>
      <c r="Y64" s="566"/>
      <c r="Z64" s="552"/>
      <c r="AA64" s="468"/>
      <c r="AB64" s="426"/>
      <c r="AC64" s="557"/>
      <c r="AD64" s="22"/>
      <c r="AE64" s="561" t="s">
        <v>62</v>
      </c>
      <c r="AF64" s="591">
        <f>J64</f>
        <v>3150</v>
      </c>
      <c r="AG64" s="591">
        <f>W64</f>
        <v>4200</v>
      </c>
      <c r="AH64" s="591">
        <f>AF64-AG64</f>
        <v>-1050</v>
      </c>
      <c r="AI64" s="594">
        <f>ROUND((100/AG64*AH64/100),2)</f>
        <v>-0.25</v>
      </c>
      <c r="AJ64" s="23"/>
      <c r="AK64" s="566"/>
      <c r="AL64" s="552"/>
      <c r="AM64" s="468"/>
    </row>
    <row r="65" spans="1:39" ht="14.25" customHeight="1">
      <c r="A65" s="468"/>
      <c r="B65" s="426"/>
      <c r="C65" s="557"/>
      <c r="D65" s="22"/>
      <c r="E65" s="558"/>
      <c r="F65" s="444" t="s">
        <v>20</v>
      </c>
      <c r="G65" s="443">
        <v>1.159</v>
      </c>
      <c r="H65" s="443">
        <v>1.188</v>
      </c>
      <c r="I65" s="443">
        <v>1.217</v>
      </c>
      <c r="J65" s="559"/>
      <c r="K65" s="23"/>
      <c r="L65" s="566"/>
      <c r="M65" s="552"/>
      <c r="N65" s="468"/>
      <c r="O65" s="426"/>
      <c r="P65" s="557"/>
      <c r="Q65" s="22"/>
      <c r="R65" s="558"/>
      <c r="S65" s="444" t="s">
        <v>20</v>
      </c>
      <c r="T65" s="443">
        <v>1.159</v>
      </c>
      <c r="U65" s="443">
        <v>1.188</v>
      </c>
      <c r="V65" s="443">
        <v>1.217</v>
      </c>
      <c r="W65" s="559"/>
      <c r="X65" s="23"/>
      <c r="Y65" s="566"/>
      <c r="Z65" s="552"/>
      <c r="AA65" s="468"/>
      <c r="AB65" s="426"/>
      <c r="AC65" s="557"/>
      <c r="AD65" s="22"/>
      <c r="AE65" s="561"/>
      <c r="AF65" s="592"/>
      <c r="AG65" s="592"/>
      <c r="AH65" s="592"/>
      <c r="AI65" s="595"/>
      <c r="AJ65" s="23"/>
      <c r="AK65" s="566"/>
      <c r="AL65" s="552"/>
      <c r="AM65" s="468"/>
    </row>
    <row r="66" spans="1:39" ht="14.25" customHeight="1">
      <c r="A66" s="468"/>
      <c r="B66" s="426"/>
      <c r="C66" s="557"/>
      <c r="D66" s="22"/>
      <c r="E66" s="558"/>
      <c r="F66" s="444" t="s">
        <v>42</v>
      </c>
      <c r="G66" s="443">
        <v>1.148</v>
      </c>
      <c r="H66" s="443">
        <v>1.177</v>
      </c>
      <c r="I66" s="443">
        <v>1.205</v>
      </c>
      <c r="J66" s="559"/>
      <c r="K66" s="23"/>
      <c r="L66" s="566"/>
      <c r="M66" s="552"/>
      <c r="N66" s="468"/>
      <c r="O66" s="426"/>
      <c r="P66" s="557"/>
      <c r="Q66" s="22"/>
      <c r="R66" s="558"/>
      <c r="S66" s="444" t="s">
        <v>42</v>
      </c>
      <c r="T66" s="443">
        <v>1.148</v>
      </c>
      <c r="U66" s="443">
        <v>1.177</v>
      </c>
      <c r="V66" s="443">
        <v>1.205</v>
      </c>
      <c r="W66" s="559"/>
      <c r="X66" s="23"/>
      <c r="Y66" s="566"/>
      <c r="Z66" s="552"/>
      <c r="AA66" s="468"/>
      <c r="AB66" s="426"/>
      <c r="AC66" s="557"/>
      <c r="AD66" s="22"/>
      <c r="AE66" s="561"/>
      <c r="AF66" s="593"/>
      <c r="AG66" s="593"/>
      <c r="AH66" s="593"/>
      <c r="AI66" s="596"/>
      <c r="AJ66" s="23"/>
      <c r="AK66" s="566"/>
      <c r="AL66" s="552"/>
      <c r="AM66" s="468"/>
    </row>
    <row r="67" spans="1:39" ht="3.75" customHeight="1">
      <c r="A67" s="468"/>
      <c r="B67" s="426"/>
      <c r="C67" s="24"/>
      <c r="D67" s="24"/>
      <c r="E67" s="30"/>
      <c r="F67" s="20"/>
      <c r="G67" s="20"/>
      <c r="H67" s="20"/>
      <c r="I67" s="20"/>
      <c r="J67" s="26"/>
      <c r="K67" s="24"/>
      <c r="L67" s="27"/>
      <c r="M67" s="429"/>
      <c r="N67" s="468"/>
      <c r="O67" s="426"/>
      <c r="P67" s="24"/>
      <c r="Q67" s="24"/>
      <c r="R67" s="30"/>
      <c r="S67" s="20"/>
      <c r="T67" s="20"/>
      <c r="U67" s="20"/>
      <c r="V67" s="20"/>
      <c r="W67" s="26"/>
      <c r="X67" s="24"/>
      <c r="Y67" s="27"/>
      <c r="Z67" s="429"/>
      <c r="AA67" s="468"/>
      <c r="AB67" s="426"/>
      <c r="AC67" s="24"/>
      <c r="AD67" s="24"/>
      <c r="AE67" s="30"/>
      <c r="AF67" s="21"/>
      <c r="AG67" s="21"/>
      <c r="AH67" s="21"/>
      <c r="AI67" s="28"/>
      <c r="AJ67" s="24"/>
      <c r="AK67" s="27"/>
      <c r="AL67" s="429"/>
      <c r="AM67" s="468"/>
    </row>
    <row r="68" spans="1:39" ht="15.75" customHeight="1">
      <c r="A68" s="468"/>
      <c r="B68" s="426"/>
      <c r="C68" s="540" t="s">
        <v>63</v>
      </c>
      <c r="D68" s="541"/>
      <c r="E68" s="542"/>
      <c r="F68" s="419" t="s">
        <v>29</v>
      </c>
      <c r="G68" s="419" t="s">
        <v>12</v>
      </c>
      <c r="H68" s="419" t="s">
        <v>30</v>
      </c>
      <c r="I68" s="419" t="s">
        <v>31</v>
      </c>
      <c r="J68" s="543" t="s">
        <v>15</v>
      </c>
      <c r="K68" s="544"/>
      <c r="L68" s="545"/>
      <c r="M68" s="430"/>
      <c r="N68" s="468"/>
      <c r="O68" s="426"/>
      <c r="P68" s="540" t="s">
        <v>63</v>
      </c>
      <c r="Q68" s="541"/>
      <c r="R68" s="542"/>
      <c r="S68" s="419" t="s">
        <v>29</v>
      </c>
      <c r="T68" s="419" t="s">
        <v>12</v>
      </c>
      <c r="U68" s="419" t="s">
        <v>30</v>
      </c>
      <c r="V68" s="419" t="s">
        <v>31</v>
      </c>
      <c r="W68" s="543" t="s">
        <v>15</v>
      </c>
      <c r="X68" s="544"/>
      <c r="Y68" s="545"/>
      <c r="Z68" s="430"/>
      <c r="AA68" s="468"/>
      <c r="AB68" s="426"/>
      <c r="AC68" s="540" t="s">
        <v>63</v>
      </c>
      <c r="AD68" s="541"/>
      <c r="AE68" s="542"/>
      <c r="AF68" s="420" t="str">
        <f>AF47</f>
        <v>2018-19</v>
      </c>
      <c r="AG68" s="420" t="str">
        <f>AG47</f>
        <v>2017-18</v>
      </c>
      <c r="AH68" s="420" t="str">
        <f>AH47</f>
        <v>Diff in Prem</v>
      </c>
      <c r="AI68" s="543" t="s">
        <v>16</v>
      </c>
      <c r="AJ68" s="544"/>
      <c r="AK68" s="545"/>
      <c r="AL68" s="430"/>
      <c r="AM68" s="468"/>
    </row>
    <row r="69" spans="1:39" ht="3.75" customHeight="1">
      <c r="A69" s="468"/>
      <c r="B69" s="426"/>
      <c r="C69" s="20"/>
      <c r="D69" s="20"/>
      <c r="E69" s="20"/>
      <c r="F69" s="20"/>
      <c r="G69" s="20"/>
      <c r="H69" s="20"/>
      <c r="I69" s="20"/>
      <c r="J69" s="20"/>
      <c r="K69" s="20"/>
      <c r="L69" s="20"/>
      <c r="M69" s="429"/>
      <c r="N69" s="468"/>
      <c r="O69" s="426"/>
      <c r="P69" s="20"/>
      <c r="Q69" s="20"/>
      <c r="R69" s="20"/>
      <c r="S69" s="20"/>
      <c r="T69" s="20"/>
      <c r="U69" s="20"/>
      <c r="V69" s="20"/>
      <c r="W69" s="20"/>
      <c r="X69" s="20"/>
      <c r="Y69" s="20"/>
      <c r="Z69" s="429"/>
      <c r="AA69" s="468"/>
      <c r="AB69" s="426"/>
      <c r="AC69" s="20"/>
      <c r="AD69" s="20"/>
      <c r="AE69" s="20"/>
      <c r="AF69" s="21"/>
      <c r="AG69" s="21"/>
      <c r="AH69" s="21"/>
      <c r="AI69" s="21"/>
      <c r="AJ69" s="20"/>
      <c r="AK69" s="20"/>
      <c r="AL69" s="429"/>
      <c r="AM69" s="468"/>
    </row>
    <row r="70" spans="1:39" ht="13.5" customHeight="1">
      <c r="A70" s="468"/>
      <c r="B70" s="426"/>
      <c r="C70" s="553" t="s">
        <v>64</v>
      </c>
      <c r="D70" s="22"/>
      <c r="E70" s="463" t="s">
        <v>65</v>
      </c>
      <c r="F70" s="464" t="s">
        <v>19</v>
      </c>
      <c r="G70" s="465">
        <v>1.208</v>
      </c>
      <c r="H70" s="465">
        <v>1.238</v>
      </c>
      <c r="I70" s="465">
        <v>1.268</v>
      </c>
      <c r="J70" s="466">
        <v>6115</v>
      </c>
      <c r="K70" s="23"/>
      <c r="L70" s="551" t="s">
        <v>64</v>
      </c>
      <c r="M70" s="552"/>
      <c r="N70" s="468"/>
      <c r="O70" s="426"/>
      <c r="P70" s="553" t="s">
        <v>64</v>
      </c>
      <c r="Q70" s="22"/>
      <c r="R70" s="463" t="s">
        <v>65</v>
      </c>
      <c r="S70" s="464" t="s">
        <v>19</v>
      </c>
      <c r="T70" s="465">
        <v>1.208</v>
      </c>
      <c r="U70" s="465">
        <v>1.238</v>
      </c>
      <c r="V70" s="465">
        <v>1.268</v>
      </c>
      <c r="W70" s="466">
        <v>4892</v>
      </c>
      <c r="X70" s="23"/>
      <c r="Y70" s="551" t="s">
        <v>64</v>
      </c>
      <c r="Z70" s="552"/>
      <c r="AA70" s="468"/>
      <c r="AB70" s="426"/>
      <c r="AC70" s="553" t="s">
        <v>64</v>
      </c>
      <c r="AD70" s="22"/>
      <c r="AE70" s="452" t="s">
        <v>65</v>
      </c>
      <c r="AF70" s="437">
        <f>J70</f>
        <v>6115</v>
      </c>
      <c r="AG70" s="437">
        <f>W70</f>
        <v>4892</v>
      </c>
      <c r="AH70" s="437">
        <f>AF70-AG70</f>
        <v>1223</v>
      </c>
      <c r="AI70" s="438">
        <f>ROUND((100/AG70*AH70/100),2)</f>
        <v>0.25</v>
      </c>
      <c r="AJ70" s="23"/>
      <c r="AK70" s="551" t="s">
        <v>64</v>
      </c>
      <c r="AL70" s="552"/>
      <c r="AM70" s="468"/>
    </row>
    <row r="71" spans="1:39" ht="13.5" customHeight="1">
      <c r="A71" s="468"/>
      <c r="B71" s="426"/>
      <c r="C71" s="553"/>
      <c r="D71" s="22"/>
      <c r="E71" s="463" t="s">
        <v>66</v>
      </c>
      <c r="F71" s="467" t="s">
        <v>20</v>
      </c>
      <c r="G71" s="465">
        <v>1.202</v>
      </c>
      <c r="H71" s="465">
        <v>1.232</v>
      </c>
      <c r="I71" s="465">
        <v>1.262</v>
      </c>
      <c r="J71" s="466">
        <v>1435</v>
      </c>
      <c r="K71" s="23"/>
      <c r="L71" s="551"/>
      <c r="M71" s="552"/>
      <c r="N71" s="468"/>
      <c r="O71" s="426"/>
      <c r="P71" s="553"/>
      <c r="Q71" s="22"/>
      <c r="R71" s="463" t="s">
        <v>66</v>
      </c>
      <c r="S71" s="467" t="s">
        <v>20</v>
      </c>
      <c r="T71" s="465">
        <v>1.202</v>
      </c>
      <c r="U71" s="465">
        <v>1.232</v>
      </c>
      <c r="V71" s="465">
        <v>1.262</v>
      </c>
      <c r="W71" s="466">
        <v>1148</v>
      </c>
      <c r="X71" s="23"/>
      <c r="Y71" s="551"/>
      <c r="Z71" s="552"/>
      <c r="AA71" s="468"/>
      <c r="AB71" s="426"/>
      <c r="AC71" s="553"/>
      <c r="AD71" s="22"/>
      <c r="AE71" s="452" t="s">
        <v>66</v>
      </c>
      <c r="AF71" s="437">
        <f>J71</f>
        <v>1435</v>
      </c>
      <c r="AG71" s="437">
        <f>W71</f>
        <v>1148</v>
      </c>
      <c r="AH71" s="437">
        <f>AF71-AG71</f>
        <v>287</v>
      </c>
      <c r="AI71" s="438">
        <f>ROUND((100/AG71*AH71/100),2)</f>
        <v>0.25</v>
      </c>
      <c r="AJ71" s="23"/>
      <c r="AK71" s="551"/>
      <c r="AL71" s="552"/>
      <c r="AM71" s="468"/>
    </row>
    <row r="72" spans="1:39" ht="13.5" customHeight="1">
      <c r="A72" s="468"/>
      <c r="B72" s="426"/>
      <c r="C72" s="553"/>
      <c r="D72" s="22"/>
      <c r="E72" s="463" t="s">
        <v>67</v>
      </c>
      <c r="F72" s="467" t="s">
        <v>42</v>
      </c>
      <c r="G72" s="465">
        <v>1.19</v>
      </c>
      <c r="H72" s="465">
        <v>1.22</v>
      </c>
      <c r="I72" s="465">
        <v>1.25</v>
      </c>
      <c r="J72" s="466">
        <v>816</v>
      </c>
      <c r="K72" s="23"/>
      <c r="L72" s="551"/>
      <c r="M72" s="552"/>
      <c r="N72" s="468"/>
      <c r="O72" s="426"/>
      <c r="P72" s="553"/>
      <c r="Q72" s="22"/>
      <c r="R72" s="463" t="s">
        <v>67</v>
      </c>
      <c r="S72" s="467" t="s">
        <v>42</v>
      </c>
      <c r="T72" s="465">
        <v>1.19</v>
      </c>
      <c r="U72" s="465">
        <v>1.22</v>
      </c>
      <c r="V72" s="465">
        <v>1.25</v>
      </c>
      <c r="W72" s="466">
        <v>653</v>
      </c>
      <c r="X72" s="23"/>
      <c r="Y72" s="551"/>
      <c r="Z72" s="552"/>
      <c r="AA72" s="468"/>
      <c r="AB72" s="426"/>
      <c r="AC72" s="553"/>
      <c r="AD72" s="22"/>
      <c r="AE72" s="452" t="s">
        <v>67</v>
      </c>
      <c r="AF72" s="437">
        <f>J72</f>
        <v>816</v>
      </c>
      <c r="AG72" s="437">
        <f>W72</f>
        <v>653</v>
      </c>
      <c r="AH72" s="437">
        <f>AF72-AG72</f>
        <v>163</v>
      </c>
      <c r="AI72" s="438">
        <f>ROUND((100/AG72*AH72/100),2)</f>
        <v>0.25</v>
      </c>
      <c r="AJ72" s="23"/>
      <c r="AK72" s="551"/>
      <c r="AL72" s="552"/>
      <c r="AM72" s="468"/>
    </row>
    <row r="73" spans="1:39" ht="13.5" customHeight="1">
      <c r="A73" s="468"/>
      <c r="B73" s="426"/>
      <c r="C73" s="553"/>
      <c r="D73" s="22"/>
      <c r="E73" s="463" t="s">
        <v>68</v>
      </c>
      <c r="F73" s="603" t="s">
        <v>69</v>
      </c>
      <c r="G73" s="603"/>
      <c r="H73" s="603"/>
      <c r="I73" s="603"/>
      <c r="J73" s="466">
        <v>2091</v>
      </c>
      <c r="K73" s="23"/>
      <c r="L73" s="551"/>
      <c r="M73" s="552"/>
      <c r="N73" s="468"/>
      <c r="O73" s="426"/>
      <c r="P73" s="553"/>
      <c r="Q73" s="22"/>
      <c r="R73" s="463" t="s">
        <v>68</v>
      </c>
      <c r="S73" s="603" t="s">
        <v>69</v>
      </c>
      <c r="T73" s="603"/>
      <c r="U73" s="603"/>
      <c r="V73" s="603"/>
      <c r="W73" s="466">
        <v>1673</v>
      </c>
      <c r="X73" s="23"/>
      <c r="Y73" s="551"/>
      <c r="Z73" s="552"/>
      <c r="AA73" s="468"/>
      <c r="AB73" s="426"/>
      <c r="AC73" s="553"/>
      <c r="AD73" s="22"/>
      <c r="AE73" s="452" t="s">
        <v>68</v>
      </c>
      <c r="AF73" s="437">
        <f>J73</f>
        <v>2091</v>
      </c>
      <c r="AG73" s="437">
        <f>W73</f>
        <v>1673</v>
      </c>
      <c r="AH73" s="437">
        <f>AF73-AG73</f>
        <v>418</v>
      </c>
      <c r="AI73" s="438">
        <f>ROUND((100/AG73*AH73/100),2)</f>
        <v>0.25</v>
      </c>
      <c r="AJ73" s="23"/>
      <c r="AK73" s="551"/>
      <c r="AL73" s="552"/>
      <c r="AM73" s="468"/>
    </row>
    <row r="74" spans="1:39" ht="4.5" customHeight="1">
      <c r="A74" s="468"/>
      <c r="B74" s="426"/>
      <c r="C74" s="20"/>
      <c r="D74" s="20"/>
      <c r="E74" s="20"/>
      <c r="F74" s="20"/>
      <c r="G74" s="20"/>
      <c r="H74" s="20"/>
      <c r="I74" s="20"/>
      <c r="J74" s="20"/>
      <c r="K74" s="20"/>
      <c r="L74" s="20"/>
      <c r="M74" s="429"/>
      <c r="N74" s="468"/>
      <c r="O74" s="426"/>
      <c r="P74" s="20"/>
      <c r="Q74" s="20"/>
      <c r="R74" s="20"/>
      <c r="S74" s="20"/>
      <c r="T74" s="20"/>
      <c r="U74" s="20"/>
      <c r="V74" s="20"/>
      <c r="W74" s="20"/>
      <c r="X74" s="20"/>
      <c r="Y74" s="20"/>
      <c r="Z74" s="429"/>
      <c r="AA74" s="468"/>
      <c r="AB74" s="426"/>
      <c r="AC74" s="20"/>
      <c r="AD74" s="20"/>
      <c r="AE74" s="20"/>
      <c r="AF74" s="21"/>
      <c r="AG74" s="21"/>
      <c r="AH74" s="21"/>
      <c r="AI74" s="21"/>
      <c r="AJ74" s="20"/>
      <c r="AK74" s="20"/>
      <c r="AL74" s="429"/>
      <c r="AM74" s="468"/>
    </row>
    <row r="75" spans="1:39" ht="21" customHeight="1" thickBot="1">
      <c r="A75" s="468"/>
      <c r="B75" s="597" t="s">
        <v>339</v>
      </c>
      <c r="C75" s="598"/>
      <c r="D75" s="598"/>
      <c r="E75" s="598"/>
      <c r="F75" s="598"/>
      <c r="G75" s="598"/>
      <c r="H75" s="598"/>
      <c r="I75" s="598"/>
      <c r="J75" s="598"/>
      <c r="K75" s="598"/>
      <c r="L75" s="598"/>
      <c r="M75" s="599"/>
      <c r="N75" s="468"/>
      <c r="O75" s="597" t="s">
        <v>339</v>
      </c>
      <c r="P75" s="598"/>
      <c r="Q75" s="598"/>
      <c r="R75" s="598"/>
      <c r="S75" s="598"/>
      <c r="T75" s="598"/>
      <c r="U75" s="598"/>
      <c r="V75" s="598"/>
      <c r="W75" s="598"/>
      <c r="X75" s="598"/>
      <c r="Y75" s="598"/>
      <c r="Z75" s="599"/>
      <c r="AA75" s="468"/>
      <c r="AB75" s="600" t="s">
        <v>339</v>
      </c>
      <c r="AC75" s="601"/>
      <c r="AD75" s="601"/>
      <c r="AE75" s="601"/>
      <c r="AF75" s="601"/>
      <c r="AG75" s="601"/>
      <c r="AH75" s="601"/>
      <c r="AI75" s="601"/>
      <c r="AJ75" s="601"/>
      <c r="AK75" s="601"/>
      <c r="AL75" s="602"/>
      <c r="AM75" s="468"/>
    </row>
    <row r="76" spans="1:39" ht="13.5" customHeight="1" thickTop="1">
      <c r="A76" s="468"/>
      <c r="B76" s="469"/>
      <c r="C76" s="469"/>
      <c r="D76" s="469"/>
      <c r="E76" s="469"/>
      <c r="F76" s="470"/>
      <c r="G76" s="469"/>
      <c r="H76" s="469"/>
      <c r="I76" s="469"/>
      <c r="J76" s="469"/>
      <c r="K76" s="469"/>
      <c r="L76" s="471"/>
      <c r="M76" s="472"/>
      <c r="N76" s="468"/>
      <c r="O76" s="469"/>
      <c r="P76" s="469"/>
      <c r="Q76" s="469"/>
      <c r="R76" s="469"/>
      <c r="S76" s="470"/>
      <c r="T76" s="469"/>
      <c r="U76" s="469"/>
      <c r="V76" s="469"/>
      <c r="W76" s="469"/>
      <c r="X76" s="469"/>
      <c r="Y76" s="471"/>
      <c r="Z76" s="472"/>
      <c r="AA76" s="468"/>
      <c r="AB76" s="469"/>
      <c r="AC76" s="469"/>
      <c r="AD76" s="469"/>
      <c r="AE76" s="469"/>
      <c r="AF76" s="473"/>
      <c r="AG76" s="473"/>
      <c r="AH76" s="473"/>
      <c r="AI76" s="473"/>
      <c r="AJ76" s="469"/>
      <c r="AK76" s="471"/>
      <c r="AL76" s="472"/>
      <c r="AM76" s="468"/>
    </row>
    <row r="77" ht="15" hidden="1"/>
    <row r="78" ht="15" hidden="1"/>
    <row r="79" ht="15" hidden="1"/>
    <row r="80" ht="15" hidden="1"/>
    <row r="81" ht="15" hidden="1"/>
    <row r="82" ht="15" hidden="1"/>
    <row r="83" ht="15" hidden="1"/>
    <row r="84" ht="15" hidden="1"/>
    <row r="85" ht="15" hidden="1"/>
    <row r="86" ht="15" hidden="1"/>
  </sheetData>
  <sheetProtection password="CE28" sheet="1" selectLockedCells="1" selectUnlockedCells="1"/>
  <mergeCells count="251">
    <mergeCell ref="AL70:AL73"/>
    <mergeCell ref="F73:I73"/>
    <mergeCell ref="S73:V73"/>
    <mergeCell ref="C70:C73"/>
    <mergeCell ref="L70:L73"/>
    <mergeCell ref="P70:P73"/>
    <mergeCell ref="Y70:Y73"/>
    <mergeCell ref="Z70:Z73"/>
    <mergeCell ref="B75:M75"/>
    <mergeCell ref="O75:Z75"/>
    <mergeCell ref="AB75:AL75"/>
    <mergeCell ref="C68:E68"/>
    <mergeCell ref="J68:L68"/>
    <mergeCell ref="P68:R68"/>
    <mergeCell ref="W68:Y68"/>
    <mergeCell ref="AC70:AC73"/>
    <mergeCell ref="AK70:AK73"/>
    <mergeCell ref="M70:M73"/>
    <mergeCell ref="AC68:AE68"/>
    <mergeCell ref="AI68:AK68"/>
    <mergeCell ref="AF61:AF63"/>
    <mergeCell ref="AG61:AG63"/>
    <mergeCell ref="AH61:AH63"/>
    <mergeCell ref="AI61:AI63"/>
    <mergeCell ref="AE64:AE66"/>
    <mergeCell ref="E64:E66"/>
    <mergeCell ref="J64:J66"/>
    <mergeCell ref="W61:W63"/>
    <mergeCell ref="Y61:Y66"/>
    <mergeCell ref="R61:R63"/>
    <mergeCell ref="R64:R66"/>
    <mergeCell ref="W64:W66"/>
    <mergeCell ref="Z61:Z66"/>
    <mergeCell ref="AC61:AC66"/>
    <mergeCell ref="AL61:AL66"/>
    <mergeCell ref="AF64:AF66"/>
    <mergeCell ref="AG64:AG66"/>
    <mergeCell ref="AH64:AH66"/>
    <mergeCell ref="AI64:AI66"/>
    <mergeCell ref="AK61:AK66"/>
    <mergeCell ref="AE61:AE63"/>
    <mergeCell ref="AC55:AC59"/>
    <mergeCell ref="AK55:AK59"/>
    <mergeCell ref="AL55:AL59"/>
    <mergeCell ref="F58:I58"/>
    <mergeCell ref="S58:V58"/>
    <mergeCell ref="F59:I59"/>
    <mergeCell ref="S59:V59"/>
    <mergeCell ref="Y55:Y59"/>
    <mergeCell ref="Z55:Z59"/>
    <mergeCell ref="C55:C59"/>
    <mergeCell ref="L55:L59"/>
    <mergeCell ref="M55:M59"/>
    <mergeCell ref="P55:P59"/>
    <mergeCell ref="C61:C66"/>
    <mergeCell ref="E61:E63"/>
    <mergeCell ref="J61:J63"/>
    <mergeCell ref="L61:L66"/>
    <mergeCell ref="M61:M66"/>
    <mergeCell ref="P61:P66"/>
    <mergeCell ref="AC49:AC53"/>
    <mergeCell ref="AK49:AK53"/>
    <mergeCell ref="AL49:AL53"/>
    <mergeCell ref="F52:I52"/>
    <mergeCell ref="S52:V52"/>
    <mergeCell ref="F53:I53"/>
    <mergeCell ref="S53:V53"/>
    <mergeCell ref="C49:C53"/>
    <mergeCell ref="L49:L53"/>
    <mergeCell ref="M49:M53"/>
    <mergeCell ref="P49:P53"/>
    <mergeCell ref="Y49:Y53"/>
    <mergeCell ref="Z49:Z53"/>
    <mergeCell ref="C47:E47"/>
    <mergeCell ref="J47:L47"/>
    <mergeCell ref="P47:R47"/>
    <mergeCell ref="W47:Y47"/>
    <mergeCell ref="AC47:AE47"/>
    <mergeCell ref="AI47:AK47"/>
    <mergeCell ref="AL40:AL45"/>
    <mergeCell ref="AF41:AF42"/>
    <mergeCell ref="AG41:AG42"/>
    <mergeCell ref="AH41:AH42"/>
    <mergeCell ref="AI41:AI42"/>
    <mergeCell ref="E43:E45"/>
    <mergeCell ref="J43:J44"/>
    <mergeCell ref="R43:R45"/>
    <mergeCell ref="W43:W44"/>
    <mergeCell ref="AE43:AE45"/>
    <mergeCell ref="W40:W41"/>
    <mergeCell ref="Y40:Y45"/>
    <mergeCell ref="Z40:Z45"/>
    <mergeCell ref="AC40:AC45"/>
    <mergeCell ref="AE40:AE42"/>
    <mergeCell ref="AK40:AK45"/>
    <mergeCell ref="AF44:AF45"/>
    <mergeCell ref="AG44:AG45"/>
    <mergeCell ref="AH44:AH45"/>
    <mergeCell ref="AI44:AI45"/>
    <mergeCell ref="AI37:AI38"/>
    <mergeCell ref="F38:J38"/>
    <mergeCell ref="S38:W38"/>
    <mergeCell ref="C40:C45"/>
    <mergeCell ref="E40:E42"/>
    <mergeCell ref="J40:J41"/>
    <mergeCell ref="L40:L45"/>
    <mergeCell ref="M40:M45"/>
    <mergeCell ref="P40:P45"/>
    <mergeCell ref="R40:R42"/>
    <mergeCell ref="AI34:AI35"/>
    <mergeCell ref="AK34:AK38"/>
    <mergeCell ref="AL34:AL38"/>
    <mergeCell ref="J36:J37"/>
    <mergeCell ref="W36:W37"/>
    <mergeCell ref="F37:I37"/>
    <mergeCell ref="S37:V37"/>
    <mergeCell ref="AF37:AF38"/>
    <mergeCell ref="AG37:AG38"/>
    <mergeCell ref="AH37:AH38"/>
    <mergeCell ref="Y34:Y38"/>
    <mergeCell ref="Z34:Z38"/>
    <mergeCell ref="AC34:AC38"/>
    <mergeCell ref="AF34:AF35"/>
    <mergeCell ref="AG34:AG35"/>
    <mergeCell ref="AH34:AH35"/>
    <mergeCell ref="C34:C38"/>
    <mergeCell ref="J34:J35"/>
    <mergeCell ref="L34:L38"/>
    <mergeCell ref="M34:M38"/>
    <mergeCell ref="P34:P38"/>
    <mergeCell ref="W34:W35"/>
    <mergeCell ref="Y27:Y32"/>
    <mergeCell ref="Z27:Z32"/>
    <mergeCell ref="AC27:AC32"/>
    <mergeCell ref="AE27:AE28"/>
    <mergeCell ref="AK27:AK32"/>
    <mergeCell ref="AL27:AL32"/>
    <mergeCell ref="AE29:AE30"/>
    <mergeCell ref="AE31:AE32"/>
    <mergeCell ref="C27:C32"/>
    <mergeCell ref="E27:E28"/>
    <mergeCell ref="L27:L32"/>
    <mergeCell ref="M27:M32"/>
    <mergeCell ref="P27:P32"/>
    <mergeCell ref="R27:R28"/>
    <mergeCell ref="E29:E30"/>
    <mergeCell ref="R29:R30"/>
    <mergeCell ref="E31:E32"/>
    <mergeCell ref="R31:R32"/>
    <mergeCell ref="AH22:AH23"/>
    <mergeCell ref="AI22:AI23"/>
    <mergeCell ref="C25:E25"/>
    <mergeCell ref="J25:L25"/>
    <mergeCell ref="P25:R25"/>
    <mergeCell ref="W25:Y25"/>
    <mergeCell ref="AC25:AE25"/>
    <mergeCell ref="AI25:AK25"/>
    <mergeCell ref="AG20:AG21"/>
    <mergeCell ref="AH20:AH21"/>
    <mergeCell ref="AI20:AI21"/>
    <mergeCell ref="E22:E23"/>
    <mergeCell ref="J22:J23"/>
    <mergeCell ref="R22:R23"/>
    <mergeCell ref="W22:W23"/>
    <mergeCell ref="AE22:AE23"/>
    <mergeCell ref="AF22:AF23"/>
    <mergeCell ref="AG22:AG23"/>
    <mergeCell ref="AG18:AG19"/>
    <mergeCell ref="AH18:AH19"/>
    <mergeCell ref="AI18:AI19"/>
    <mergeCell ref="AK18:AK23"/>
    <mergeCell ref="AL18:AL23"/>
    <mergeCell ref="E20:E21"/>
    <mergeCell ref="J20:J21"/>
    <mergeCell ref="R20:R21"/>
    <mergeCell ref="W20:W21"/>
    <mergeCell ref="AE20:AE21"/>
    <mergeCell ref="W18:W19"/>
    <mergeCell ref="Y18:Y23"/>
    <mergeCell ref="Z18:Z23"/>
    <mergeCell ref="AC18:AC23"/>
    <mergeCell ref="AE18:AE19"/>
    <mergeCell ref="AF18:AF19"/>
    <mergeCell ref="AF20:AF21"/>
    <mergeCell ref="AG15:AG16"/>
    <mergeCell ref="AH15:AH16"/>
    <mergeCell ref="AI15:AI16"/>
    <mergeCell ref="C18:C23"/>
    <mergeCell ref="E18:E19"/>
    <mergeCell ref="J18:J19"/>
    <mergeCell ref="L18:L23"/>
    <mergeCell ref="M18:M23"/>
    <mergeCell ref="P18:P23"/>
    <mergeCell ref="R18:R19"/>
    <mergeCell ref="E15:E16"/>
    <mergeCell ref="J15:J16"/>
    <mergeCell ref="R15:R16"/>
    <mergeCell ref="W15:W16"/>
    <mergeCell ref="AE15:AE16"/>
    <mergeCell ref="AF15:AF16"/>
    <mergeCell ref="W13:W14"/>
    <mergeCell ref="AE13:AE14"/>
    <mergeCell ref="AF13:AF14"/>
    <mergeCell ref="AG13:AG14"/>
    <mergeCell ref="AH13:AH14"/>
    <mergeCell ref="AI13:AI14"/>
    <mergeCell ref="AF9:AF10"/>
    <mergeCell ref="AG9:AG10"/>
    <mergeCell ref="AH9:AH10"/>
    <mergeCell ref="AI9:AI10"/>
    <mergeCell ref="AK9:AK16"/>
    <mergeCell ref="AL9:AL16"/>
    <mergeCell ref="AF11:AF12"/>
    <mergeCell ref="AG11:AG12"/>
    <mergeCell ref="AH11:AH12"/>
    <mergeCell ref="AI11:AI12"/>
    <mergeCell ref="R9:R10"/>
    <mergeCell ref="W9:W10"/>
    <mergeCell ref="Y9:Y16"/>
    <mergeCell ref="Z9:Z16"/>
    <mergeCell ref="AC9:AC16"/>
    <mergeCell ref="AE9:AE10"/>
    <mergeCell ref="R11:R12"/>
    <mergeCell ref="W11:W12"/>
    <mergeCell ref="AE11:AE12"/>
    <mergeCell ref="R13:R14"/>
    <mergeCell ref="C9:C16"/>
    <mergeCell ref="E9:E10"/>
    <mergeCell ref="J9:J10"/>
    <mergeCell ref="L9:L16"/>
    <mergeCell ref="M9:M16"/>
    <mergeCell ref="P9:P16"/>
    <mergeCell ref="E11:E12"/>
    <mergeCell ref="J11:J12"/>
    <mergeCell ref="E13:E14"/>
    <mergeCell ref="J13:J14"/>
    <mergeCell ref="C7:E7"/>
    <mergeCell ref="J7:L7"/>
    <mergeCell ref="P7:R7"/>
    <mergeCell ref="W7:Y7"/>
    <mergeCell ref="AC7:AE7"/>
    <mergeCell ref="AI7:AK7"/>
    <mergeCell ref="B5:M5"/>
    <mergeCell ref="C3:L3"/>
    <mergeCell ref="P3:Y3"/>
    <mergeCell ref="AC3:AK3"/>
    <mergeCell ref="C4:L4"/>
    <mergeCell ref="P4:Y4"/>
    <mergeCell ref="AC4:AK4"/>
    <mergeCell ref="O5:Z5"/>
    <mergeCell ref="AB5:AL5"/>
  </mergeCells>
  <printOptions horizontalCentered="1" verticalCentered="1"/>
  <pageMargins left="0.5" right="0.5" top="0.5" bottom="0.5" header="0.5118055555555555" footer="0.5118055555555555"/>
  <pageSetup fitToHeight="1" fitToWidth="1" horizontalDpi="300" verticalDpi="300" orientation="portrait" paperSize="9" scale="87" r:id="rId1"/>
</worksheet>
</file>

<file path=xl/worksheets/sheet3.xml><?xml version="1.0" encoding="utf-8"?>
<worksheet xmlns="http://schemas.openxmlformats.org/spreadsheetml/2006/main" xmlns:r="http://schemas.openxmlformats.org/officeDocument/2006/relationships">
  <sheetPr>
    <tabColor rgb="FF00B050"/>
    <pageSetUpPr fitToPage="1"/>
  </sheetPr>
  <dimension ref="A1:AF55"/>
  <sheetViews>
    <sheetView showGridLines="0" showRowColHeaders="0" zoomScalePageLayoutView="0" workbookViewId="0" topLeftCell="A1">
      <selection activeCell="E4" sqref="E4:F4"/>
    </sheetView>
  </sheetViews>
  <sheetFormatPr defaultColWidth="0" defaultRowHeight="15" customHeight="1" zeroHeight="1"/>
  <cols>
    <col min="1" max="1" width="1.7109375" style="2" customWidth="1"/>
    <col min="2" max="2" width="2.7109375" style="2" customWidth="1"/>
    <col min="3" max="3" width="1.7109375" style="2" customWidth="1"/>
    <col min="4" max="6" width="14.7109375" style="2" customWidth="1"/>
    <col min="7" max="7" width="1.421875" style="2" customWidth="1"/>
    <col min="8" max="8" width="13.7109375" style="2" customWidth="1"/>
    <col min="9" max="9" width="14.7109375" style="2" customWidth="1"/>
    <col min="10" max="10" width="1.7109375" style="2" customWidth="1"/>
    <col min="11" max="11" width="2.7109375" style="117" customWidth="1"/>
    <col min="12" max="12" width="2.7109375" style="121" customWidth="1"/>
    <col min="13" max="13" width="1.7109375" style="121" customWidth="1"/>
    <col min="14" max="14" width="22.7109375" style="121" customWidth="1"/>
    <col min="15" max="15" width="1.7109375" style="121" customWidth="1"/>
    <col min="16" max="16" width="22.7109375" style="121" customWidth="1"/>
    <col min="17" max="18" width="1.7109375" style="121" customWidth="1"/>
    <col min="19" max="19" width="2.7109375" style="121" hidden="1" customWidth="1"/>
    <col min="20" max="20" width="9.28125" style="2" hidden="1" customWidth="1"/>
    <col min="21" max="21" width="8.00390625" style="2" hidden="1" customWidth="1"/>
    <col min="22" max="22" width="8.421875" style="2" hidden="1" customWidth="1"/>
    <col min="23" max="23" width="9.28125" style="2" hidden="1" customWidth="1"/>
    <col min="24" max="24" width="8.140625" style="2" hidden="1" customWidth="1"/>
    <col min="25" max="25" width="8.28125" style="119" hidden="1" customWidth="1"/>
    <col min="26" max="26" width="8.00390625" style="119" hidden="1" customWidth="1"/>
    <col min="27" max="27" width="9.28125" style="120" hidden="1" customWidth="1"/>
    <col min="28" max="28" width="10.57421875" style="120" hidden="1" customWidth="1"/>
    <col min="29" max="30" width="10.421875" style="2" hidden="1" customWidth="1"/>
    <col min="31" max="31" width="9.28125" style="2" hidden="1" customWidth="1"/>
    <col min="32" max="32" width="14.00390625" style="2" hidden="1" customWidth="1"/>
    <col min="33" max="33" width="7.421875" style="2" hidden="1" customWidth="1"/>
    <col min="34" max="16384" width="3.57421875" style="2" hidden="1" customWidth="1"/>
  </cols>
  <sheetData>
    <row r="1" spans="1:28" s="362" customFormat="1" ht="9" customHeight="1">
      <c r="A1" s="357"/>
      <c r="B1" s="357"/>
      <c r="C1" s="357"/>
      <c r="D1" s="357"/>
      <c r="E1" s="357"/>
      <c r="F1" s="357"/>
      <c r="G1" s="357"/>
      <c r="H1" s="357"/>
      <c r="I1" s="357"/>
      <c r="J1" s="357"/>
      <c r="K1" s="357"/>
      <c r="L1" s="357"/>
      <c r="M1" s="357"/>
      <c r="N1" s="357"/>
      <c r="O1" s="357"/>
      <c r="P1" s="357"/>
      <c r="Q1" s="357"/>
      <c r="R1" s="357"/>
      <c r="S1" s="357"/>
      <c r="T1" s="358" t="s">
        <v>70</v>
      </c>
      <c r="U1" s="359" t="s">
        <v>71</v>
      </c>
      <c r="V1" s="359" t="s">
        <v>12</v>
      </c>
      <c r="W1" s="359" t="s">
        <v>72</v>
      </c>
      <c r="X1" s="359" t="s">
        <v>14</v>
      </c>
      <c r="Y1" s="359" t="s">
        <v>73</v>
      </c>
      <c r="Z1" s="359" t="s">
        <v>74</v>
      </c>
      <c r="AA1" s="360"/>
      <c r="AB1" s="361"/>
    </row>
    <row r="2" spans="1:28" s="43" customFormat="1" ht="27" customHeight="1">
      <c r="A2" s="39"/>
      <c r="B2" s="45"/>
      <c r="C2" s="615" t="s">
        <v>75</v>
      </c>
      <c r="D2" s="616"/>
      <c r="E2" s="616"/>
      <c r="F2" s="616"/>
      <c r="G2" s="626" t="str">
        <f>CONCATENATE("Com: ",IF(K4=2,N42,N43))</f>
        <v>Com: 26</v>
      </c>
      <c r="H2" s="626"/>
      <c r="I2" s="627" t="s">
        <v>76</v>
      </c>
      <c r="J2" s="627"/>
      <c r="K2" s="628"/>
      <c r="L2" s="39"/>
      <c r="M2" s="275"/>
      <c r="N2" s="640" t="s">
        <v>214</v>
      </c>
      <c r="O2" s="641"/>
      <c r="P2" s="642"/>
      <c r="Q2" s="284"/>
      <c r="R2" s="39"/>
      <c r="S2" s="39"/>
      <c r="T2" s="618" t="s">
        <v>77</v>
      </c>
      <c r="U2" s="46" t="s">
        <v>78</v>
      </c>
      <c r="V2" s="47">
        <f>Tariffs!G9</f>
        <v>1.708</v>
      </c>
      <c r="W2" s="47">
        <f>Tariffs!H9</f>
        <v>1.7930000000000001</v>
      </c>
      <c r="X2" s="47">
        <f>Tariffs!I9</f>
        <v>1.8359999999999999</v>
      </c>
      <c r="Y2" s="629">
        <f>IF($I$7=$U$2,(IF($F$7&lt;6,$V$2,IF($F$7&lt;11,$W$2,$X$2))),IF($I$7=$U$3,(IF($F$7&lt;6,$V$3,IF($F$7&lt;11,$W$3,$X$3)))))</f>
        <v>1.708</v>
      </c>
      <c r="Z2" s="631">
        <f>IF(Sign!$E$11="2018-19",Tariffs!J9,Tariffs!W9)</f>
        <v>427</v>
      </c>
      <c r="AA2" s="48">
        <v>0</v>
      </c>
      <c r="AB2" s="42">
        <v>0</v>
      </c>
    </row>
    <row r="3" spans="1:28" s="43" customFormat="1" ht="15" customHeight="1">
      <c r="A3" s="39"/>
      <c r="B3" s="49"/>
      <c r="C3" s="53"/>
      <c r="D3" s="633"/>
      <c r="E3" s="633"/>
      <c r="F3" s="633"/>
      <c r="G3" s="633"/>
      <c r="H3" s="633"/>
      <c r="I3" s="633"/>
      <c r="J3" s="53"/>
      <c r="K3" s="297"/>
      <c r="L3" s="39"/>
      <c r="M3" s="276"/>
      <c r="N3" s="634" t="s">
        <v>237</v>
      </c>
      <c r="O3" s="635"/>
      <c r="P3" s="636"/>
      <c r="Q3" s="280"/>
      <c r="R3" s="39"/>
      <c r="S3" s="39"/>
      <c r="T3" s="619"/>
      <c r="U3" s="46" t="s">
        <v>79</v>
      </c>
      <c r="V3" s="47">
        <f>Tariffs!G10</f>
        <v>1.6760000000000002</v>
      </c>
      <c r="W3" s="47">
        <f>Tariffs!H10</f>
        <v>1.76</v>
      </c>
      <c r="X3" s="47">
        <f>Tariffs!I10</f>
        <v>1.802</v>
      </c>
      <c r="Y3" s="630"/>
      <c r="Z3" s="632"/>
      <c r="AA3" s="48">
        <f aca="true" t="shared" si="0" ref="AA3:AA12">AA2+10000</f>
        <v>10000</v>
      </c>
      <c r="AB3" s="42">
        <v>20</v>
      </c>
    </row>
    <row r="4" spans="1:28" s="43" customFormat="1" ht="27" customHeight="1">
      <c r="A4" s="39"/>
      <c r="B4" s="49"/>
      <c r="C4" s="50"/>
      <c r="D4" s="289" t="s">
        <v>80</v>
      </c>
      <c r="E4" s="643" t="s">
        <v>474</v>
      </c>
      <c r="F4" s="644"/>
      <c r="G4" s="620" t="s">
        <v>81</v>
      </c>
      <c r="H4" s="621"/>
      <c r="I4" s="51" t="s">
        <v>438</v>
      </c>
      <c r="J4" s="52"/>
      <c r="K4" s="297">
        <f>IF(I4="Package Policy",1,2)</f>
        <v>2</v>
      </c>
      <c r="L4" s="39"/>
      <c r="M4" s="276"/>
      <c r="N4" s="637"/>
      <c r="O4" s="638"/>
      <c r="P4" s="639"/>
      <c r="Q4" s="280"/>
      <c r="R4" s="39"/>
      <c r="S4" s="39"/>
      <c r="T4" s="618" t="s">
        <v>83</v>
      </c>
      <c r="U4" s="46" t="str">
        <f>U2</f>
        <v>Zone:  A</v>
      </c>
      <c r="V4" s="47">
        <f>Tariffs!G11</f>
        <v>1.708</v>
      </c>
      <c r="W4" s="47">
        <f>Tariffs!H11</f>
        <v>1.7930000000000001</v>
      </c>
      <c r="X4" s="47">
        <f>Tariffs!I11</f>
        <v>1.8359999999999999</v>
      </c>
      <c r="Y4" s="629">
        <f>IF($I$7=$U$4,(IF($F$7&lt;6,$V$4,IF($F$7&lt;11,$W$4,$X$4))),IF($I$7=$U$5,(IF($F$7&lt;6,$V$5,IF($F$7&lt;11,$W$5,$X$5)))))</f>
        <v>1.708</v>
      </c>
      <c r="Z4" s="631">
        <f>IF(Sign!$E$11="2018-19",Tariffs!J11,Tariffs!W11)</f>
        <v>720</v>
      </c>
      <c r="AA4" s="48">
        <f t="shared" si="0"/>
        <v>20000</v>
      </c>
      <c r="AB4" s="42">
        <v>25</v>
      </c>
    </row>
    <row r="5" spans="1:28" s="43" customFormat="1" ht="15" customHeight="1">
      <c r="A5" s="39"/>
      <c r="B5" s="49"/>
      <c r="C5" s="53"/>
      <c r="D5" s="53"/>
      <c r="E5" s="53"/>
      <c r="F5" s="53"/>
      <c r="G5" s="53"/>
      <c r="H5" s="53"/>
      <c r="I5" s="53"/>
      <c r="J5" s="53"/>
      <c r="K5" s="297"/>
      <c r="L5" s="39"/>
      <c r="M5" s="276"/>
      <c r="N5" s="278"/>
      <c r="O5" s="279"/>
      <c r="P5" s="285"/>
      <c r="Q5" s="280"/>
      <c r="R5" s="39"/>
      <c r="S5" s="39"/>
      <c r="T5" s="619"/>
      <c r="U5" s="46" t="str">
        <f>U3</f>
        <v>Zone:  B</v>
      </c>
      <c r="V5" s="47">
        <f>Tariffs!G12</f>
        <v>1.6760000000000002</v>
      </c>
      <c r="W5" s="47">
        <f>Tariffs!H12</f>
        <v>1.76</v>
      </c>
      <c r="X5" s="47">
        <f>Tariffs!I12</f>
        <v>1.802</v>
      </c>
      <c r="Y5" s="630"/>
      <c r="Z5" s="632"/>
      <c r="AA5" s="48">
        <f t="shared" si="0"/>
        <v>30000</v>
      </c>
      <c r="AB5" s="42">
        <v>35</v>
      </c>
    </row>
    <row r="6" spans="1:28" s="43" customFormat="1" ht="24" customHeight="1">
      <c r="A6" s="39"/>
      <c r="B6" s="49"/>
      <c r="C6" s="50"/>
      <c r="D6" s="289" t="s">
        <v>84</v>
      </c>
      <c r="E6" s="288" t="s">
        <v>85</v>
      </c>
      <c r="F6" s="288" t="s">
        <v>86</v>
      </c>
      <c r="G6" s="620" t="s">
        <v>87</v>
      </c>
      <c r="H6" s="621"/>
      <c r="I6" s="288" t="s">
        <v>11</v>
      </c>
      <c r="J6" s="50"/>
      <c r="K6" s="297">
        <f>IF(I7="Zone:  A",1,2)</f>
        <v>1</v>
      </c>
      <c r="L6" s="39"/>
      <c r="M6" s="276"/>
      <c r="N6" s="319" t="s">
        <v>213</v>
      </c>
      <c r="O6" s="279"/>
      <c r="P6" s="319" t="s">
        <v>212</v>
      </c>
      <c r="Q6" s="280"/>
      <c r="R6" s="39"/>
      <c r="S6" s="39"/>
      <c r="T6" s="618" t="s">
        <v>88</v>
      </c>
      <c r="U6" s="46" t="str">
        <f>U2</f>
        <v>Zone:  A</v>
      </c>
      <c r="V6" s="47">
        <f>Tariffs!G13</f>
        <v>1.7930000000000001</v>
      </c>
      <c r="W6" s="47">
        <f>Tariffs!H13</f>
        <v>1.883</v>
      </c>
      <c r="X6" s="47">
        <f>Tariffs!I13</f>
        <v>1.928</v>
      </c>
      <c r="Y6" s="629">
        <f>IF($I$7=$U$6,(IF($F$7&lt;6,$V$6,IF($F$7&lt;11,$W$6,$X$6))),IF($I$7=$U$7,(IF($F$7&lt;6,$V$7,IF($F$7&lt;11,$W$7,$X$7)))))</f>
        <v>1.7930000000000001</v>
      </c>
      <c r="Z6" s="631">
        <f>IF(Sign!$E$11="2018-19",Tariffs!J13,Tariffs!W13)</f>
        <v>985</v>
      </c>
      <c r="AA6" s="48">
        <f t="shared" si="0"/>
        <v>40000</v>
      </c>
      <c r="AB6" s="42">
        <v>45</v>
      </c>
    </row>
    <row r="7" spans="1:28" s="43" customFormat="1" ht="49.5" customHeight="1">
      <c r="A7" s="39"/>
      <c r="B7" s="49"/>
      <c r="C7" s="50"/>
      <c r="D7" s="54" t="s">
        <v>400</v>
      </c>
      <c r="E7" s="55" t="s">
        <v>401</v>
      </c>
      <c r="F7" s="56">
        <v>3</v>
      </c>
      <c r="G7" s="645">
        <v>120</v>
      </c>
      <c r="H7" s="646"/>
      <c r="I7" s="58" t="s">
        <v>78</v>
      </c>
      <c r="J7" s="52"/>
      <c r="K7" s="297"/>
      <c r="L7" s="39"/>
      <c r="M7" s="276"/>
      <c r="N7" s="320">
        <f>IF(W49=0,"Not Avb",W49)</f>
        <v>1228</v>
      </c>
      <c r="O7" s="279"/>
      <c r="P7" s="320">
        <f>AE49</f>
        <v>1228</v>
      </c>
      <c r="Q7" s="280"/>
      <c r="R7" s="39"/>
      <c r="S7" s="39"/>
      <c r="T7" s="619"/>
      <c r="U7" s="46" t="str">
        <f>U3</f>
        <v>Zone:  B</v>
      </c>
      <c r="V7" s="47">
        <f>Tariffs!G14</f>
        <v>1.76</v>
      </c>
      <c r="W7" s="47">
        <f>Tariffs!H14</f>
        <v>1.8479999999999999</v>
      </c>
      <c r="X7" s="47">
        <f>Tariffs!I14</f>
        <v>1.892</v>
      </c>
      <c r="Y7" s="630"/>
      <c r="Z7" s="632"/>
      <c r="AA7" s="48">
        <f t="shared" si="0"/>
        <v>50000</v>
      </c>
      <c r="AB7" s="42">
        <v>50</v>
      </c>
    </row>
    <row r="8" spans="1:28" s="43" customFormat="1" ht="15" customHeight="1">
      <c r="A8" s="39"/>
      <c r="B8" s="49"/>
      <c r="C8" s="53"/>
      <c r="D8" s="59"/>
      <c r="E8" s="53"/>
      <c r="F8" s="53"/>
      <c r="G8" s="53"/>
      <c r="H8" s="53"/>
      <c r="I8" s="53"/>
      <c r="J8" s="53"/>
      <c r="K8" s="297"/>
      <c r="L8" s="39"/>
      <c r="M8" s="276"/>
      <c r="N8" s="278"/>
      <c r="O8" s="279"/>
      <c r="P8" s="285"/>
      <c r="Q8" s="280"/>
      <c r="R8" s="39"/>
      <c r="S8" s="39"/>
      <c r="T8" s="618" t="s">
        <v>89</v>
      </c>
      <c r="U8" s="46" t="str">
        <f>U2</f>
        <v>Zone:  A</v>
      </c>
      <c r="V8" s="47">
        <f>Tariffs!G15</f>
        <v>1.879</v>
      </c>
      <c r="W8" s="47">
        <f>Tariffs!H15</f>
        <v>1.9729999999999999</v>
      </c>
      <c r="X8" s="47">
        <f>Tariffs!I15</f>
        <v>2.02</v>
      </c>
      <c r="Y8" s="629">
        <f>IF($I$7=$U$8,(IF($F$7&lt;6,$V$8,IF($F$7&lt;11,$W$8,$X$8))),IF($I$7=$U$9,(IF($F$7&lt;6,$V$9,IF($F$7&lt;11,$W$9,$X$9)))))</f>
        <v>1.879</v>
      </c>
      <c r="Z8" s="631">
        <f>IF(Sign!$E$11="2018-19",Tariffs!J15,Tariffs!W15)</f>
        <v>2323</v>
      </c>
      <c r="AA8" s="48">
        <f t="shared" si="0"/>
        <v>60000</v>
      </c>
      <c r="AB8" s="42">
        <v>65</v>
      </c>
    </row>
    <row r="9" spans="1:28" s="43" customFormat="1" ht="24" customHeight="1">
      <c r="A9" s="39"/>
      <c r="B9" s="49"/>
      <c r="C9" s="50"/>
      <c r="D9" s="289" t="str">
        <f>IF(F7&lt;5.01,"IDV of Vehicle","Sum Insured")</f>
        <v>IDV of Vehicle</v>
      </c>
      <c r="E9" s="289" t="s">
        <v>90</v>
      </c>
      <c r="F9" s="289" t="s">
        <v>91</v>
      </c>
      <c r="G9" s="620" t="s">
        <v>92</v>
      </c>
      <c r="H9" s="621"/>
      <c r="I9" s="288" t="s">
        <v>93</v>
      </c>
      <c r="J9" s="50"/>
      <c r="K9" s="650" t="s">
        <v>94</v>
      </c>
      <c r="L9" s="651"/>
      <c r="M9" s="276"/>
      <c r="N9" s="319" t="s">
        <v>209</v>
      </c>
      <c r="O9" s="279"/>
      <c r="P9" s="319" t="s">
        <v>210</v>
      </c>
      <c r="Q9" s="280"/>
      <c r="R9" s="39"/>
      <c r="S9" s="39"/>
      <c r="T9" s="647"/>
      <c r="U9" s="60" t="str">
        <f>U3</f>
        <v>Zone:  B</v>
      </c>
      <c r="V9" s="61">
        <f>Tariffs!G16</f>
        <v>1.8439999999999999</v>
      </c>
      <c r="W9" s="61">
        <f>Tariffs!H16</f>
        <v>1.936</v>
      </c>
      <c r="X9" s="61">
        <f>Tariffs!I16</f>
        <v>1.982</v>
      </c>
      <c r="Y9" s="648"/>
      <c r="Z9" s="649"/>
      <c r="AA9" s="48">
        <f t="shared" si="0"/>
        <v>70000</v>
      </c>
      <c r="AB9" s="42"/>
    </row>
    <row r="10" spans="1:28" s="43" customFormat="1" ht="49.5" customHeight="1">
      <c r="A10" s="39"/>
      <c r="B10" s="49"/>
      <c r="C10" s="50"/>
      <c r="D10" s="62">
        <v>40000</v>
      </c>
      <c r="E10" s="62">
        <v>0</v>
      </c>
      <c r="F10" s="62">
        <v>0</v>
      </c>
      <c r="G10" s="622" t="s">
        <v>314</v>
      </c>
      <c r="H10" s="623"/>
      <c r="I10" s="58" t="s">
        <v>429</v>
      </c>
      <c r="J10" s="52"/>
      <c r="K10" s="624">
        <v>90</v>
      </c>
      <c r="L10" s="625"/>
      <c r="M10" s="276"/>
      <c r="N10" s="320">
        <f>IF(AD49=0,"Not Avb",AD49)</f>
        <v>1549</v>
      </c>
      <c r="O10" s="279"/>
      <c r="P10" s="320">
        <f>IF(AC49=0,"Not Avb",AC49)</f>
        <v>1662</v>
      </c>
      <c r="Q10" s="280"/>
      <c r="R10" s="39"/>
      <c r="S10" s="39"/>
      <c r="T10" s="63" t="s">
        <v>96</v>
      </c>
      <c r="U10" s="63" t="s">
        <v>97</v>
      </c>
      <c r="V10" s="64"/>
      <c r="W10" s="64"/>
      <c r="X10" s="64"/>
      <c r="Y10" s="64" t="s">
        <v>98</v>
      </c>
      <c r="Z10" s="64" t="s">
        <v>99</v>
      </c>
      <c r="AA10" s="48">
        <f t="shared" si="0"/>
        <v>80000</v>
      </c>
      <c r="AB10" s="42"/>
    </row>
    <row r="11" spans="1:28" s="43" customFormat="1" ht="15" customHeight="1">
      <c r="A11" s="39"/>
      <c r="B11" s="49"/>
      <c r="C11" s="53"/>
      <c r="D11" s="53"/>
      <c r="E11" s="53"/>
      <c r="F11" s="53"/>
      <c r="G11" s="53"/>
      <c r="H11" s="53"/>
      <c r="I11" s="53"/>
      <c r="J11" s="53"/>
      <c r="K11" s="297">
        <f>IF(G10="W/o Ren Disc",1,IF(G10="With Ren Disc",2,3))</f>
        <v>1</v>
      </c>
      <c r="L11" s="39"/>
      <c r="M11" s="276"/>
      <c r="N11" s="278"/>
      <c r="O11" s="279"/>
      <c r="P11" s="285"/>
      <c r="Q11" s="280"/>
      <c r="R11" s="39"/>
      <c r="S11" s="39"/>
      <c r="T11" s="65">
        <f>IF(K11=1,(IF(F7&lt;0.5,15,IF(F7&lt;2,25,IF(F7&lt;5,35,0)))),IF(K11=2,((IF(F7&lt;0.5,15,IF(F7&lt;2,25,IF(F7&lt;5,35,0))))*0.95),0))</f>
        <v>35</v>
      </c>
      <c r="U11" s="65">
        <f>IF(F7&lt;0.3,0.3,IF(F7&lt;1.01,0.4,IF(F7&lt;2.01,0.6,0)))</f>
        <v>0</v>
      </c>
      <c r="V11" s="66"/>
      <c r="W11" s="66"/>
      <c r="X11" s="66"/>
      <c r="Y11" s="67">
        <f>IF($G$7&lt;76,$Y$2,IF($G$7&lt;151,$Y$4,IF($G$7&lt;351,$Y$6,$Y$8)))</f>
        <v>1.708</v>
      </c>
      <c r="Z11" s="66">
        <f>IF($G$7&lt;76,$Z$2,IF($G$7&lt;151,$Z$4,IF($G$7&lt;351,$Z$6,$Z$8)))</f>
        <v>720</v>
      </c>
      <c r="AA11" s="48">
        <f t="shared" si="0"/>
        <v>90000</v>
      </c>
      <c r="AB11" s="42"/>
    </row>
    <row r="12" spans="1:28" s="43" customFormat="1" ht="24" customHeight="1">
      <c r="A12" s="39"/>
      <c r="B12" s="49"/>
      <c r="C12" s="50"/>
      <c r="D12" s="288" t="s">
        <v>100</v>
      </c>
      <c r="E12" s="288" t="s">
        <v>101</v>
      </c>
      <c r="F12" s="288" t="s">
        <v>102</v>
      </c>
      <c r="G12" s="620" t="s">
        <v>103</v>
      </c>
      <c r="H12" s="621"/>
      <c r="I12" s="289" t="s">
        <v>104</v>
      </c>
      <c r="J12" s="53"/>
      <c r="K12" s="297">
        <f>IF(K4=2,2,IF(F7&gt;2,2,IF(I10="Yes",1,2)))</f>
        <v>2</v>
      </c>
      <c r="L12" s="39"/>
      <c r="M12" s="276"/>
      <c r="N12" s="319" t="s">
        <v>211</v>
      </c>
      <c r="O12" s="279"/>
      <c r="P12" s="319" t="s">
        <v>219</v>
      </c>
      <c r="Q12" s="280"/>
      <c r="R12" s="39"/>
      <c r="S12" s="39"/>
      <c r="T12" s="68" t="str">
        <f>IF(K4=2,"Not Applicable",IF(F7&gt;10,"Not Avb","W/o Ren Disc"))</f>
        <v>Not Applicable</v>
      </c>
      <c r="U12" s="68" t="str">
        <f>IF(K4=2,"Not Applicable",IF(F7&gt;2,"Not Avb","Yes"))</f>
        <v>Not Applicable</v>
      </c>
      <c r="V12" s="69"/>
      <c r="W12" s="69"/>
      <c r="X12" s="69"/>
      <c r="Y12" s="69"/>
      <c r="Z12" s="69"/>
      <c r="AA12" s="48">
        <f t="shared" si="0"/>
        <v>100000</v>
      </c>
      <c r="AB12" s="42"/>
    </row>
    <row r="13" spans="1:28" s="43" customFormat="1" ht="49.5" customHeight="1">
      <c r="A13" s="39"/>
      <c r="B13" s="49"/>
      <c r="C13" s="50"/>
      <c r="D13" s="70" t="s">
        <v>105</v>
      </c>
      <c r="E13" s="70" t="s">
        <v>121</v>
      </c>
      <c r="F13" s="71">
        <v>0</v>
      </c>
      <c r="G13" s="608">
        <v>20</v>
      </c>
      <c r="H13" s="609"/>
      <c r="I13" s="72">
        <v>50</v>
      </c>
      <c r="J13" s="53"/>
      <c r="K13" s="311">
        <f>IF(D13="Yes (Required)",1,2)</f>
        <v>1</v>
      </c>
      <c r="L13" s="39"/>
      <c r="M13" s="276"/>
      <c r="N13" s="320">
        <f>IF(AB49=0,"Not Avb",AB49)</f>
        <v>1549</v>
      </c>
      <c r="O13" s="279"/>
      <c r="P13" s="320">
        <f>IF(AA49=0,"Not Avb",AA49)</f>
        <v>1662</v>
      </c>
      <c r="Q13" s="280"/>
      <c r="R13" s="39"/>
      <c r="S13" s="39"/>
      <c r="T13" s="68" t="str">
        <f>IF(K4=2,"Not Applicable",IF(F7&gt;10,"Not Avb","With Ren Disc"))</f>
        <v>Not Applicable</v>
      </c>
      <c r="U13" s="68" t="str">
        <f>IF(K4=2,"Not Applicable",IF(F7&gt;2,"Not Avb","No"))</f>
        <v>Not Applicable</v>
      </c>
      <c r="V13" s="69"/>
      <c r="W13" s="69"/>
      <c r="X13" s="69"/>
      <c r="Y13" s="69"/>
      <c r="Z13" s="69"/>
      <c r="AA13" s="48"/>
      <c r="AB13" s="42"/>
    </row>
    <row r="14" spans="1:28" s="43" customFormat="1" ht="15" customHeight="1">
      <c r="A14" s="39"/>
      <c r="B14" s="49"/>
      <c r="C14" s="53"/>
      <c r="D14" s="53"/>
      <c r="E14" s="53"/>
      <c r="F14" s="53"/>
      <c r="G14" s="53"/>
      <c r="H14" s="53"/>
      <c r="I14" s="53"/>
      <c r="J14" s="53"/>
      <c r="K14" s="311">
        <f>IF(E13="Yes (Limited)",1,2)</f>
        <v>2</v>
      </c>
      <c r="L14" s="39"/>
      <c r="M14" s="276"/>
      <c r="N14" s="278"/>
      <c r="O14" s="279"/>
      <c r="P14" s="278"/>
      <c r="Q14" s="280"/>
      <c r="R14" s="39"/>
      <c r="S14" s="39"/>
      <c r="T14" s="68" t="str">
        <f>IF(K4=2,"Not Applicable",IF(F7&gt;10,"Not Avb","No"))</f>
        <v>Not Applicable</v>
      </c>
      <c r="U14" s="73"/>
      <c r="V14" s="39"/>
      <c r="W14" s="39"/>
      <c r="X14" s="39"/>
      <c r="Y14" s="39"/>
      <c r="Z14" s="39"/>
      <c r="AA14" s="48"/>
      <c r="AB14" s="42"/>
    </row>
    <row r="15" spans="1:28" s="43" customFormat="1" ht="27" customHeight="1">
      <c r="A15" s="39"/>
      <c r="B15" s="610" t="str">
        <f>'Pvt Car'!B20:J20</f>
        <v>SmartCalc… Most Reliable, Simple, Fast and Efficient - Lingachari Oriental</v>
      </c>
      <c r="C15" s="611"/>
      <c r="D15" s="611"/>
      <c r="E15" s="611"/>
      <c r="F15" s="611"/>
      <c r="G15" s="611"/>
      <c r="H15" s="611"/>
      <c r="I15" s="611"/>
      <c r="J15" s="612"/>
      <c r="K15" s="312"/>
      <c r="L15" s="39"/>
      <c r="M15" s="277"/>
      <c r="N15" s="281"/>
      <c r="O15" s="282"/>
      <c r="P15" s="281"/>
      <c r="Q15" s="283"/>
      <c r="R15" s="39"/>
      <c r="S15" s="39"/>
      <c r="T15" s="68">
        <f>IF(K10&gt;I13,I13,K10)</f>
        <v>50</v>
      </c>
      <c r="U15" s="294"/>
      <c r="V15" s="294">
        <f>IF(K11=2,(IF(F7&lt;0.5,15,IF(F7&lt;2,25,IF(F7&lt;5,35,0)))*0.95),(IF(F7&lt;0.5,15,IF(F7&lt;2,25,IF(F7&lt;5,35,0)))))</f>
        <v>35</v>
      </c>
      <c r="W15" s="294"/>
      <c r="X15" s="294"/>
      <c r="Y15" s="294"/>
      <c r="Z15" s="295"/>
      <c r="AA15" s="48"/>
      <c r="AB15" s="42"/>
    </row>
    <row r="16" spans="1:28" s="78" customFormat="1" ht="12" customHeight="1">
      <c r="A16" s="75"/>
      <c r="B16" s="75"/>
      <c r="C16" s="75"/>
      <c r="D16" s="75"/>
      <c r="E16" s="75"/>
      <c r="F16" s="75"/>
      <c r="G16" s="613"/>
      <c r="H16" s="613"/>
      <c r="I16" s="76"/>
      <c r="J16" s="75"/>
      <c r="K16" s="75"/>
      <c r="L16" s="39"/>
      <c r="M16" s="39"/>
      <c r="N16" s="39"/>
      <c r="O16" s="39"/>
      <c r="P16" s="39"/>
      <c r="Q16" s="39"/>
      <c r="R16" s="39"/>
      <c r="S16" s="39"/>
      <c r="T16" s="39"/>
      <c r="U16" s="39"/>
      <c r="V16" s="39"/>
      <c r="W16" s="39"/>
      <c r="X16" s="39"/>
      <c r="Y16" s="39"/>
      <c r="Z16" s="74"/>
      <c r="AA16" s="48"/>
      <c r="AB16" s="42"/>
    </row>
    <row r="17" spans="1:28" s="43" customFormat="1" ht="27" customHeight="1">
      <c r="A17" s="79"/>
      <c r="B17" s="614">
        <f ca="1">TODAY()</f>
        <v>43469</v>
      </c>
      <c r="C17" s="614"/>
      <c r="D17" s="614"/>
      <c r="E17" s="614"/>
      <c r="F17" s="614"/>
      <c r="G17" s="614"/>
      <c r="H17" s="614"/>
      <c r="I17" s="614"/>
      <c r="J17" s="614"/>
      <c r="K17" s="614"/>
      <c r="L17" s="39"/>
      <c r="M17" s="39"/>
      <c r="N17" s="274"/>
      <c r="O17" s="39"/>
      <c r="P17" s="274"/>
      <c r="Q17" s="39"/>
      <c r="R17" s="39"/>
      <c r="S17" s="39"/>
      <c r="T17" s="80" t="str">
        <f>CONCATENATE(IF(E4="","Dear Sir/Madam,",E4),CHAR(10),CHAR(10),"Thank you for contacting us for obtaining Premium Details of our Co's Two Wheeler Insurance Policy and we wish to furnish the details of the same, for your kind reference:")</f>
        <v>Mr. Gogulamudi Lingachari
Thank you for contacting us for obtaining Premium Details of our Co's Two Wheeler Insurance Policy and we wish to furnish the details of the same, for your kind reference:</v>
      </c>
      <c r="U17" s="39"/>
      <c r="V17" s="39"/>
      <c r="W17" s="39"/>
      <c r="X17" s="39"/>
      <c r="Y17" s="39"/>
      <c r="Z17" s="74"/>
      <c r="AA17" s="48"/>
      <c r="AB17" s="42"/>
    </row>
    <row r="18" spans="1:28" s="43" customFormat="1" ht="36" customHeight="1">
      <c r="A18" s="79"/>
      <c r="B18" s="617" t="s">
        <v>9</v>
      </c>
      <c r="C18" s="617"/>
      <c r="D18" s="617"/>
      <c r="E18" s="617"/>
      <c r="F18" s="617"/>
      <c r="G18" s="617"/>
      <c r="H18" s="617"/>
      <c r="I18" s="617"/>
      <c r="J18" s="617"/>
      <c r="K18" s="617"/>
      <c r="L18" s="39"/>
      <c r="M18" s="39"/>
      <c r="N18" s="39"/>
      <c r="O18" s="39"/>
      <c r="P18" s="39"/>
      <c r="Q18" s="39"/>
      <c r="R18" s="39"/>
      <c r="S18" s="39"/>
      <c r="T18" s="81" t="str">
        <f>CONCATENATE(T22,T23,T24,T25,T26,T27,T28,T29,T30,T31,T32,Z27,Z28,Z29)</f>
        <v>     #  Name of the Registered Owner:  Mr. Gogulamudi Lingachari
     #  Vehicle's Registration Number:  TS09EM4104
     #  Make and Model of the Vehicle:  Enfield Electra
     #  Type of Policy/Cover Opted:  Liability Only
     #  Cubic Capacity of the Vehicle:  120 CC
     #  Age of Vehicle (As per RC):  3 Year(s)
     #  Zone of Registration:  Zone:  A
     #  Owner-Driver-PA Cover:  Opted
</v>
      </c>
      <c r="U18" s="39"/>
      <c r="V18" s="74"/>
      <c r="W18" s="74"/>
      <c r="X18" s="39"/>
      <c r="Y18" s="39"/>
      <c r="Z18" s="74"/>
      <c r="AA18" s="48"/>
      <c r="AB18" s="42"/>
    </row>
    <row r="19" spans="1:28" s="43" customFormat="1" ht="36" customHeight="1">
      <c r="A19" s="79"/>
      <c r="B19" s="604" t="str">
        <f>Sign!F4</f>
        <v>DO-VI, Begumpet, Hyderabad - 500 016</v>
      </c>
      <c r="C19" s="604"/>
      <c r="D19" s="604"/>
      <c r="E19" s="604"/>
      <c r="F19" s="604"/>
      <c r="G19" s="604"/>
      <c r="H19" s="604"/>
      <c r="I19" s="604"/>
      <c r="J19" s="604"/>
      <c r="K19" s="604"/>
      <c r="L19" s="39"/>
      <c r="M19" s="39"/>
      <c r="N19" s="39"/>
      <c r="O19" s="39"/>
      <c r="P19" s="39"/>
      <c r="Q19" s="39"/>
      <c r="R19" s="39"/>
      <c r="S19" s="39"/>
      <c r="T19" s="80" t="str">
        <f>CONCATENATE(CHAR(10),"Premium is to paid for An Amount of Rs.",I49,"/- Inclusive of Ser Tax @ ",Sign!F15,"% towards ",IF(G13="","Issuance of ",IF(G13=0,"Issuance of ","Renewal of ")),I4," for the above Risk.",CHAR(10),CHAR(10),"Request you to arrange the above quoted premium along with the required vehicle documents, to enable us to issue the policy at the earliest.")</f>
        <v>
Premium is to paid for An Amount of Rs.1228/- Inclusive of Ser Tax @ 18% towards Renewal of Liability Only for the above Risk.
Request you to arrange the above quoted premium along with the required vehicle documents, to enable us to issue the policy at the earliest.</v>
      </c>
      <c r="U19" s="39"/>
      <c r="V19" s="74"/>
      <c r="W19" s="74"/>
      <c r="X19" s="39"/>
      <c r="Y19" s="39"/>
      <c r="Z19" s="74"/>
      <c r="AA19" s="48"/>
      <c r="AB19" s="42"/>
    </row>
    <row r="20" spans="1:28" s="43" customFormat="1" ht="20.25" customHeight="1">
      <c r="A20" s="79"/>
      <c r="B20" s="82"/>
      <c r="C20" s="605" t="str">
        <f>CONCATENATE("Premium Quotation for Two Wheeler (Pvt / Own Use) - ",I4)</f>
        <v>Premium Quotation for Two Wheeler (Pvt / Own Use) - Liability Only</v>
      </c>
      <c r="D20" s="606"/>
      <c r="E20" s="606"/>
      <c r="F20" s="606"/>
      <c r="G20" s="606"/>
      <c r="H20" s="606"/>
      <c r="I20" s="606"/>
      <c r="J20" s="606"/>
      <c r="K20" s="607"/>
      <c r="L20" s="39"/>
      <c r="M20" s="39"/>
      <c r="N20" s="39"/>
      <c r="O20" s="39"/>
      <c r="P20" s="39"/>
      <c r="Q20" s="39"/>
      <c r="R20" s="39"/>
      <c r="S20" s="39"/>
      <c r="T20" s="74"/>
      <c r="U20" s="74"/>
      <c r="V20" s="74"/>
      <c r="W20" s="74"/>
      <c r="X20" s="39"/>
      <c r="Y20" s="39"/>
      <c r="Z20" s="74"/>
      <c r="AA20" s="48"/>
      <c r="AB20" s="42"/>
    </row>
    <row r="21" spans="1:28" s="43" customFormat="1" ht="7.5" customHeight="1">
      <c r="A21" s="79"/>
      <c r="B21" s="83"/>
      <c r="C21" s="84"/>
      <c r="D21" s="84"/>
      <c r="E21" s="84"/>
      <c r="F21" s="84"/>
      <c r="G21" s="84"/>
      <c r="H21" s="84"/>
      <c r="I21" s="84"/>
      <c r="J21" s="84"/>
      <c r="K21" s="90"/>
      <c r="L21" s="39"/>
      <c r="M21" s="39"/>
      <c r="N21" s="39"/>
      <c r="O21" s="39"/>
      <c r="P21" s="39"/>
      <c r="Q21" s="39"/>
      <c r="R21" s="39"/>
      <c r="S21" s="39"/>
      <c r="T21" s="86"/>
      <c r="U21" s="86"/>
      <c r="V21" s="86"/>
      <c r="W21" s="86"/>
      <c r="X21" s="87"/>
      <c r="Y21" s="87"/>
      <c r="Z21" s="86"/>
      <c r="AA21" s="48"/>
      <c r="AB21" s="42"/>
    </row>
    <row r="22" spans="1:28" s="43" customFormat="1" ht="22.5" customHeight="1">
      <c r="A22" s="75"/>
      <c r="B22" s="83"/>
      <c r="C22" s="84"/>
      <c r="D22" s="652" t="s">
        <v>462</v>
      </c>
      <c r="E22" s="652"/>
      <c r="F22" s="652"/>
      <c r="G22" s="88" t="s">
        <v>106</v>
      </c>
      <c r="H22" s="652" t="str">
        <f>E4</f>
        <v>Mr. Gogulamudi Lingachari</v>
      </c>
      <c r="I22" s="652"/>
      <c r="J22" s="89"/>
      <c r="K22" s="90"/>
      <c r="L22" s="39"/>
      <c r="M22" s="39"/>
      <c r="N22" s="39"/>
      <c r="O22" s="39"/>
      <c r="P22" s="39"/>
      <c r="Q22" s="39"/>
      <c r="R22" s="39"/>
      <c r="S22" s="39"/>
      <c r="T22" s="86" t="str">
        <f>CONCATENATE("     #  ",D22,":  ",H22,CHAR(10))</f>
        <v>     #  Name of the Registered Owner:  Mr. Gogulamudi Lingachari
</v>
      </c>
      <c r="U22" s="86"/>
      <c r="V22" s="86"/>
      <c r="W22" s="86"/>
      <c r="X22" s="87"/>
      <c r="Y22" s="87"/>
      <c r="Z22" s="86"/>
      <c r="AA22" s="48"/>
      <c r="AB22" s="42"/>
    </row>
    <row r="23" spans="1:28" s="43" customFormat="1" ht="22.5" customHeight="1">
      <c r="A23" s="75"/>
      <c r="B23" s="83"/>
      <c r="C23" s="84"/>
      <c r="D23" s="652" t="s">
        <v>107</v>
      </c>
      <c r="E23" s="652"/>
      <c r="F23" s="652"/>
      <c r="G23" s="88" t="s">
        <v>106</v>
      </c>
      <c r="H23" s="652" t="str">
        <f>UPPER(D7)</f>
        <v>TS09EM4104</v>
      </c>
      <c r="I23" s="652"/>
      <c r="J23" s="89"/>
      <c r="K23" s="90"/>
      <c r="L23" s="39"/>
      <c r="M23" s="39"/>
      <c r="N23" s="39"/>
      <c r="O23" s="39"/>
      <c r="P23" s="39"/>
      <c r="Q23" s="39"/>
      <c r="R23" s="39"/>
      <c r="S23" s="39"/>
      <c r="T23" s="86" t="str">
        <f>CONCATENATE("     #  ",D23,":  ",H23,CHAR(10))</f>
        <v>     #  Vehicle's Registration Number:  TS09EM4104
</v>
      </c>
      <c r="U23" s="86"/>
      <c r="V23" s="86"/>
      <c r="W23" s="86"/>
      <c r="X23" s="87"/>
      <c r="Y23" s="87"/>
      <c r="Z23" s="86"/>
      <c r="AA23" s="48"/>
      <c r="AB23" s="42"/>
    </row>
    <row r="24" spans="1:28" s="43" customFormat="1" ht="22.5" customHeight="1">
      <c r="A24" s="75"/>
      <c r="B24" s="83"/>
      <c r="C24" s="84"/>
      <c r="D24" s="652" t="s">
        <v>108</v>
      </c>
      <c r="E24" s="652"/>
      <c r="F24" s="652"/>
      <c r="G24" s="88" t="s">
        <v>106</v>
      </c>
      <c r="H24" s="652" t="str">
        <f>PROPER(E7)</f>
        <v>Enfield Electra</v>
      </c>
      <c r="I24" s="652"/>
      <c r="J24" s="89"/>
      <c r="K24" s="90"/>
      <c r="L24" s="39"/>
      <c r="M24" s="39"/>
      <c r="N24" s="39"/>
      <c r="O24" s="39"/>
      <c r="P24" s="39"/>
      <c r="Q24" s="39"/>
      <c r="R24" s="39"/>
      <c r="S24" s="39"/>
      <c r="T24" s="86" t="str">
        <f>CONCATENATE("     #  ",D24,":  ",H24,CHAR(10))</f>
        <v>     #  Make and Model of the Vehicle:  Enfield Electra
</v>
      </c>
      <c r="U24" s="86"/>
      <c r="V24" s="86"/>
      <c r="W24" s="86"/>
      <c r="X24" s="87"/>
      <c r="Y24" s="87"/>
      <c r="Z24" s="86"/>
      <c r="AA24" s="44"/>
      <c r="AB24" s="42"/>
    </row>
    <row r="25" spans="1:28" s="43" customFormat="1" ht="22.5" customHeight="1">
      <c r="A25" s="75"/>
      <c r="B25" s="83"/>
      <c r="C25" s="84"/>
      <c r="D25" s="652" t="s">
        <v>109</v>
      </c>
      <c r="E25" s="652"/>
      <c r="F25" s="652"/>
      <c r="G25" s="88" t="s">
        <v>106</v>
      </c>
      <c r="H25" s="652" t="str">
        <f>I4</f>
        <v>Liability Only</v>
      </c>
      <c r="I25" s="652"/>
      <c r="J25" s="89"/>
      <c r="K25" s="90"/>
      <c r="L25" s="39"/>
      <c r="M25" s="39"/>
      <c r="N25" s="39"/>
      <c r="O25" s="39"/>
      <c r="P25" s="39"/>
      <c r="Q25" s="39"/>
      <c r="R25" s="39"/>
      <c r="S25" s="39"/>
      <c r="T25" s="86" t="str">
        <f>CONCATENATE("     #  ",D25,":  ",IF(K4=2,"Liability Only",IF(K4=1,(CONCATENATE("Package Policy",IF(K11=3,"",", NDP Cover"),IF(K12=2,"",", RTI Cover"))))),CHAR(10))</f>
        <v>     #  Type of Policy/Cover Opted:  Liability Only
</v>
      </c>
      <c r="U25" s="86"/>
      <c r="V25" s="86"/>
      <c r="W25" s="86"/>
      <c r="X25" s="87"/>
      <c r="Y25" s="87"/>
      <c r="Z25" s="86"/>
      <c r="AA25" s="44"/>
      <c r="AB25" s="42"/>
    </row>
    <row r="26" spans="1:28" s="43" customFormat="1" ht="22.5" customHeight="1">
      <c r="A26" s="75"/>
      <c r="B26" s="83"/>
      <c r="C26" s="84"/>
      <c r="D26" s="652" t="str">
        <f>IF(F7&lt;5.01,"IDV (Insured's Declared Value) of Vehicle","Sum Insured of Vehicle")</f>
        <v>IDV (Insured's Declared Value) of Vehicle</v>
      </c>
      <c r="E26" s="652"/>
      <c r="F26" s="652"/>
      <c r="G26" s="88" t="s">
        <v>106</v>
      </c>
      <c r="H26" s="653">
        <f>D10</f>
        <v>40000</v>
      </c>
      <c r="I26" s="653"/>
      <c r="J26" s="89"/>
      <c r="K26" s="90"/>
      <c r="L26" s="39"/>
      <c r="M26" s="39"/>
      <c r="N26" s="39"/>
      <c r="O26" s="39"/>
      <c r="P26" s="39"/>
      <c r="Q26" s="39"/>
      <c r="R26" s="39"/>
      <c r="S26" s="39"/>
      <c r="T26" s="86">
        <f>IF(K4=2,"",(CONCATENATE("     #  ",D26,":  Rs.",H26,"/- ",CHAR(10))))</f>
      </c>
      <c r="U26" s="86"/>
      <c r="V26" s="86"/>
      <c r="W26" s="86"/>
      <c r="X26" s="86"/>
      <c r="Y26" s="87"/>
      <c r="Z26" s="86"/>
      <c r="AA26" s="44"/>
      <c r="AB26" s="42"/>
    </row>
    <row r="27" spans="1:28" s="43" customFormat="1" ht="22.5" customHeight="1">
      <c r="A27" s="75"/>
      <c r="B27" s="83"/>
      <c r="C27" s="84"/>
      <c r="D27" s="652" t="s">
        <v>110</v>
      </c>
      <c r="E27" s="652"/>
      <c r="F27" s="652"/>
      <c r="G27" s="88" t="s">
        <v>106</v>
      </c>
      <c r="H27" s="653">
        <f>E10</f>
        <v>0</v>
      </c>
      <c r="I27" s="653"/>
      <c r="J27" s="89"/>
      <c r="K27" s="90"/>
      <c r="L27" s="39"/>
      <c r="M27" s="39"/>
      <c r="N27" s="39"/>
      <c r="O27" s="39"/>
      <c r="P27" s="39"/>
      <c r="Q27" s="39"/>
      <c r="R27" s="39"/>
      <c r="S27" s="39"/>
      <c r="T27" s="86">
        <f>IF(K4=2,"",IF(E10=0,"",(CONCATENATE("     #  ",D27,":  Rs.",H27,"/- ",CHAR(10)))))</f>
      </c>
      <c r="U27" s="86"/>
      <c r="V27" s="86"/>
      <c r="W27" s="86"/>
      <c r="X27" s="86"/>
      <c r="Y27" s="87"/>
      <c r="Z27" s="91" t="str">
        <f>IF(K13=2,"",CONCATENATE("     #  Owner-Driver-PA Cover:  Opted",CHAR(10)))</f>
        <v>     #  Owner-Driver-PA Cover:  Opted
</v>
      </c>
      <c r="AA27" s="44"/>
      <c r="AB27" s="42"/>
    </row>
    <row r="28" spans="1:28" s="43" customFormat="1" ht="22.5" customHeight="1">
      <c r="A28" s="75"/>
      <c r="B28" s="83"/>
      <c r="C28" s="84"/>
      <c r="D28" s="652" t="s">
        <v>111</v>
      </c>
      <c r="E28" s="652"/>
      <c r="F28" s="652"/>
      <c r="G28" s="88" t="s">
        <v>106</v>
      </c>
      <c r="H28" s="653">
        <f>F10</f>
        <v>0</v>
      </c>
      <c r="I28" s="653"/>
      <c r="J28" s="89"/>
      <c r="K28" s="90"/>
      <c r="L28" s="39"/>
      <c r="M28" s="39"/>
      <c r="N28" s="39"/>
      <c r="O28" s="39"/>
      <c r="P28" s="39"/>
      <c r="Q28" s="39"/>
      <c r="R28" s="39"/>
      <c r="S28" s="39"/>
      <c r="T28" s="86">
        <f>IF(K4=2,"",IF(F10=0,"",(CONCATENATE("     #  ",D28,":  Rs.",H28,"/- ",CHAR(10)))))</f>
      </c>
      <c r="U28" s="87"/>
      <c r="V28" s="87"/>
      <c r="W28" s="87"/>
      <c r="X28" s="87"/>
      <c r="Y28" s="87"/>
      <c r="Z28" s="91">
        <f>IF(K14=2,"",CONCATENATE("     #  Limited TPPD Cover:  Opted, Hence Deleted",CHAR(10)))</f>
      </c>
      <c r="AA28" s="44"/>
      <c r="AB28" s="42"/>
    </row>
    <row r="29" spans="1:28" s="43" customFormat="1" ht="22.5" customHeight="1">
      <c r="A29" s="75"/>
      <c r="B29" s="83"/>
      <c r="C29" s="84"/>
      <c r="D29" s="652" t="s">
        <v>112</v>
      </c>
      <c r="E29" s="652"/>
      <c r="F29" s="652"/>
      <c r="G29" s="88" t="s">
        <v>106</v>
      </c>
      <c r="H29" s="654">
        <f>G7</f>
        <v>120</v>
      </c>
      <c r="I29" s="654"/>
      <c r="J29" s="89"/>
      <c r="K29" s="90"/>
      <c r="L29" s="39"/>
      <c r="M29" s="39"/>
      <c r="N29" s="39"/>
      <c r="O29" s="39"/>
      <c r="P29" s="39"/>
      <c r="Q29" s="39"/>
      <c r="R29" s="39"/>
      <c r="S29" s="39"/>
      <c r="T29" s="86" t="str">
        <f>CONCATENATE("     #  ",D29,":  ",H29," CC",CHAR(10))</f>
        <v>     #  Cubic Capacity of the Vehicle:  120 CC
</v>
      </c>
      <c r="U29" s="87"/>
      <c r="V29" s="87"/>
      <c r="W29" s="87"/>
      <c r="X29" s="87"/>
      <c r="Y29" s="87"/>
      <c r="Z29" s="91">
        <f>IF(K4=2,"",IF(G13=0,"",IF(G13="","",CONCATENATE("     #  NCB (No Clam Bonus):  ",G13,"% (on Renewal of Cover)",CHAR(10)))))</f>
      </c>
      <c r="AA29" s="44"/>
      <c r="AB29" s="42"/>
    </row>
    <row r="30" spans="1:28" s="43" customFormat="1" ht="22.5" customHeight="1">
      <c r="A30" s="75"/>
      <c r="B30" s="83"/>
      <c r="C30" s="84"/>
      <c r="D30" s="652" t="s">
        <v>113</v>
      </c>
      <c r="E30" s="652"/>
      <c r="F30" s="652"/>
      <c r="G30" s="88" t="s">
        <v>106</v>
      </c>
      <c r="H30" s="655">
        <f>IF(F7&lt;0.51,"New Vehicle",F7)</f>
        <v>3</v>
      </c>
      <c r="I30" s="655"/>
      <c r="J30" s="89"/>
      <c r="K30" s="90"/>
      <c r="L30" s="39"/>
      <c r="M30" s="39"/>
      <c r="N30" s="39"/>
      <c r="O30" s="39"/>
      <c r="P30" s="39"/>
      <c r="Q30" s="39"/>
      <c r="R30" s="39"/>
      <c r="S30" s="39"/>
      <c r="T30" s="86" t="str">
        <f>CONCATENATE("     #  ",D30,":  ",(IF(H30="","New Vehicle",H30))," Year(s)",CHAR(10))</f>
        <v>     #  Age of Vehicle (As per RC):  3 Year(s)
</v>
      </c>
      <c r="U30" s="87"/>
      <c r="V30" s="87"/>
      <c r="W30" s="87"/>
      <c r="X30" s="87"/>
      <c r="Y30" s="87"/>
      <c r="Z30" s="86"/>
      <c r="AA30" s="44"/>
      <c r="AB30" s="42"/>
    </row>
    <row r="31" spans="1:28" s="43" customFormat="1" ht="22.5" customHeight="1">
      <c r="A31" s="75"/>
      <c r="B31" s="83"/>
      <c r="C31" s="84"/>
      <c r="D31" s="652" t="s">
        <v>114</v>
      </c>
      <c r="E31" s="652"/>
      <c r="F31" s="652"/>
      <c r="G31" s="88" t="s">
        <v>106</v>
      </c>
      <c r="H31" s="652" t="str">
        <f>I7</f>
        <v>Zone:  A</v>
      </c>
      <c r="I31" s="652"/>
      <c r="J31" s="89"/>
      <c r="K31" s="90"/>
      <c r="L31" s="39"/>
      <c r="M31" s="39"/>
      <c r="N31" s="39"/>
      <c r="O31" s="39"/>
      <c r="P31" s="39"/>
      <c r="Q31" s="39"/>
      <c r="R31" s="39"/>
      <c r="S31" s="39"/>
      <c r="T31" s="86" t="str">
        <f>CONCATENATE("     #  ",D31,":  ",H31,CHAR(10))</f>
        <v>     #  Zone of Registration:  Zone:  A
</v>
      </c>
      <c r="U31" s="87"/>
      <c r="V31" s="87"/>
      <c r="W31" s="87"/>
      <c r="X31" s="87"/>
      <c r="Y31" s="87"/>
      <c r="Z31" s="86"/>
      <c r="AA31" s="44"/>
      <c r="AB31" s="42"/>
    </row>
    <row r="32" spans="1:31" s="43" customFormat="1" ht="20.25" customHeight="1">
      <c r="A32" s="75"/>
      <c r="B32" s="83"/>
      <c r="C32" s="84"/>
      <c r="D32" s="656" t="s">
        <v>115</v>
      </c>
      <c r="E32" s="656"/>
      <c r="F32" s="656"/>
      <c r="G32" s="656"/>
      <c r="H32" s="656"/>
      <c r="I32" s="656"/>
      <c r="J32" s="84"/>
      <c r="K32" s="90"/>
      <c r="L32" s="39"/>
      <c r="M32" s="39"/>
      <c r="N32" s="39"/>
      <c r="O32" s="39"/>
      <c r="P32" s="39"/>
      <c r="Q32" s="39"/>
      <c r="R32" s="39"/>
      <c r="S32" s="39"/>
      <c r="T32" s="86">
        <f>IF(F13=0,"",(CONCATENATE("     #  Un-Named PA Coverage for Pillion Rider:  Rs.",F13,"/- ",CHAR(10))))</f>
      </c>
      <c r="U32" s="87"/>
      <c r="V32" s="87"/>
      <c r="W32" s="296" t="s">
        <v>213</v>
      </c>
      <c r="X32" s="87"/>
      <c r="Y32" s="87"/>
      <c r="Z32" s="86"/>
      <c r="AA32" s="296" t="s">
        <v>216</v>
      </c>
      <c r="AB32" s="296" t="s">
        <v>97</v>
      </c>
      <c r="AC32" s="296" t="s">
        <v>96</v>
      </c>
      <c r="AD32" s="296" t="s">
        <v>217</v>
      </c>
      <c r="AE32" s="296" t="s">
        <v>218</v>
      </c>
    </row>
    <row r="33" spans="1:31" s="43" customFormat="1" ht="22.5" customHeight="1">
      <c r="A33" s="75"/>
      <c r="B33" s="83"/>
      <c r="C33" s="84"/>
      <c r="D33" s="657" t="str">
        <f>IF(U33&lt;12,"Basic OD Premium",(VLOOKUP(U33,$V$33:$X$40,3,0)))</f>
        <v>Basic OD Premium</v>
      </c>
      <c r="E33" s="657"/>
      <c r="F33" s="657"/>
      <c r="G33" s="657"/>
      <c r="H33" s="93" t="str">
        <f>IF(D33="","",":")</f>
        <v>:</v>
      </c>
      <c r="I33" s="94">
        <f>IF(U33&lt;24,0,VLOOKUP(U33,$V$33:$X$40,2,0))</f>
        <v>0</v>
      </c>
      <c r="J33" s="84"/>
      <c r="K33" s="90"/>
      <c r="L33" s="39"/>
      <c r="M33" s="39"/>
      <c r="N33" s="39"/>
      <c r="O33" s="39"/>
      <c r="P33" s="39"/>
      <c r="Q33" s="39"/>
      <c r="R33" s="39"/>
      <c r="S33" s="95">
        <v>1</v>
      </c>
      <c r="T33" s="96">
        <f aca="true" t="shared" si="1" ref="T33:T40">IF(W33=0,S33,V33)</f>
        <v>1</v>
      </c>
      <c r="U33" s="96">
        <f>LARGE($T$33:$T$40,ROWS(T$33:T33))</f>
        <v>8</v>
      </c>
      <c r="V33" s="96">
        <v>40</v>
      </c>
      <c r="W33" s="97">
        <f>IF($K$4=1,(D10*Y11%),0)</f>
        <v>0</v>
      </c>
      <c r="X33" s="98" t="str">
        <f>IF(W33=0,"Basic OD Prem",CONCATENATE("Basic OD Premium @ ",Y11," % on Vehicle Value (IDV)"))</f>
        <v>Basic OD Prem</v>
      </c>
      <c r="Y33" s="99"/>
      <c r="Z33" s="99"/>
      <c r="AA33" s="97">
        <f>($D$10*$Y$11%)</f>
        <v>683.1999999999999</v>
      </c>
      <c r="AB33" s="97">
        <f>($D$10*$Y$11%)</f>
        <v>683.1999999999999</v>
      </c>
      <c r="AC33" s="97">
        <f>($D$10*$Y$11%)</f>
        <v>683.1999999999999</v>
      </c>
      <c r="AD33" s="97">
        <f>($D$10*$Y$11%)</f>
        <v>683.1999999999999</v>
      </c>
      <c r="AE33" s="97"/>
    </row>
    <row r="34" spans="1:31" s="43" customFormat="1" ht="22.5" customHeight="1">
      <c r="A34" s="75"/>
      <c r="B34" s="83"/>
      <c r="C34" s="84"/>
      <c r="D34" s="657">
        <f aca="true" t="shared" si="2" ref="D34:D40">IF(U34&lt;12,"",(VLOOKUP(U34,$V$33:$X$40,3,0)))</f>
      </c>
      <c r="E34" s="657"/>
      <c r="F34" s="657"/>
      <c r="G34" s="657"/>
      <c r="H34" s="93">
        <f aca="true" t="shared" si="3" ref="H34:H45">IF(D34="","",":")</f>
      </c>
      <c r="I34" s="94">
        <f aca="true" t="shared" si="4" ref="I34:I40">IF(U34&lt;24,"",VLOOKUP(U34,$V$33:$X$40,2,0))</f>
      </c>
      <c r="J34" s="84"/>
      <c r="K34" s="90"/>
      <c r="L34" s="39"/>
      <c r="M34" s="39"/>
      <c r="N34" s="39"/>
      <c r="O34" s="39"/>
      <c r="P34" s="39"/>
      <c r="Q34" s="39"/>
      <c r="R34" s="39"/>
      <c r="S34" s="95">
        <f>S33+1</f>
        <v>2</v>
      </c>
      <c r="T34" s="96">
        <f t="shared" si="1"/>
        <v>2</v>
      </c>
      <c r="U34" s="96">
        <f>LARGE($T$33:$T$40,ROWS(T$33:T34))</f>
        <v>7</v>
      </c>
      <c r="V34" s="96">
        <f>V33-1</f>
        <v>39</v>
      </c>
      <c r="W34" s="100">
        <f>IF(W33=0,0,E10*4%)</f>
        <v>0</v>
      </c>
      <c r="X34" s="98">
        <f>IF(W34=0,"","Add: Prem @ 4% for Electrical/Electronic Accessories")</f>
      </c>
      <c r="Y34" s="99"/>
      <c r="Z34" s="99"/>
      <c r="AA34" s="100">
        <f>IF($AA$33=0,0,$E$10*4%)</f>
        <v>0</v>
      </c>
      <c r="AB34" s="100">
        <f>IF($AB$33=0,0,$E$10*4%)</f>
        <v>0</v>
      </c>
      <c r="AC34" s="100">
        <f>IF($AC$33=0,0,$E$10*4%)</f>
        <v>0</v>
      </c>
      <c r="AD34" s="100">
        <f>IF($AD$33=0,0,$E$10*4%)</f>
        <v>0</v>
      </c>
      <c r="AE34" s="100"/>
    </row>
    <row r="35" spans="1:31" s="43" customFormat="1" ht="22.5" customHeight="1">
      <c r="A35" s="75"/>
      <c r="B35" s="83"/>
      <c r="C35" s="84"/>
      <c r="D35" s="657">
        <f t="shared" si="2"/>
      </c>
      <c r="E35" s="657"/>
      <c r="F35" s="657"/>
      <c r="G35" s="657"/>
      <c r="H35" s="93">
        <f t="shared" si="3"/>
      </c>
      <c r="I35" s="94">
        <f t="shared" si="4"/>
      </c>
      <c r="J35" s="84"/>
      <c r="K35" s="90"/>
      <c r="L35" s="39"/>
      <c r="M35" s="39"/>
      <c r="N35" s="39"/>
      <c r="O35" s="39"/>
      <c r="P35" s="39"/>
      <c r="Q35" s="39"/>
      <c r="R35" s="39"/>
      <c r="S35" s="95">
        <f aca="true" t="shared" si="5" ref="S35:S40">S34+1</f>
        <v>3</v>
      </c>
      <c r="T35" s="96">
        <f t="shared" si="1"/>
        <v>3</v>
      </c>
      <c r="U35" s="96">
        <f>LARGE($T$33:$T$40,ROWS(T$33:T35))</f>
        <v>6</v>
      </c>
      <c r="V35" s="96">
        <f aca="true" t="shared" si="6" ref="V35:V40">V34-1</f>
        <v>38</v>
      </c>
      <c r="W35" s="100">
        <f>IF(W33=0,0,F10*Y11%)</f>
        <v>0</v>
      </c>
      <c r="X35" s="98">
        <f>IF(W35=0,"",CONCATENATE("Add: Prem @ ",Y11,"% on Non-Ele Accessories Value"))</f>
      </c>
      <c r="Y35" s="99"/>
      <c r="Z35" s="99"/>
      <c r="AA35" s="100">
        <f>IF($AA$33=0,0,$F$10*$Y$11%)</f>
        <v>0</v>
      </c>
      <c r="AB35" s="100">
        <f>IF($AB$33=0,0,$F$10*$Y$11%)</f>
        <v>0</v>
      </c>
      <c r="AC35" s="100">
        <f>IF($AC$33=0,0,$F$10*$Y$11%)</f>
        <v>0</v>
      </c>
      <c r="AD35" s="100">
        <f>IF($AD$33=0,0,$F$10*$Y$11%)</f>
        <v>0</v>
      </c>
      <c r="AE35" s="100"/>
    </row>
    <row r="36" spans="1:31" s="43" customFormat="1" ht="22.5" customHeight="1">
      <c r="A36" s="75"/>
      <c r="B36" s="83"/>
      <c r="C36" s="84"/>
      <c r="D36" s="657">
        <f t="shared" si="2"/>
      </c>
      <c r="E36" s="657"/>
      <c r="F36" s="657"/>
      <c r="G36" s="657"/>
      <c r="H36" s="93">
        <f t="shared" si="3"/>
      </c>
      <c r="I36" s="94">
        <f t="shared" si="4"/>
      </c>
      <c r="J36" s="84"/>
      <c r="K36" s="90"/>
      <c r="L36" s="39"/>
      <c r="M36" s="39"/>
      <c r="N36" s="39"/>
      <c r="O36" s="39"/>
      <c r="P36" s="39"/>
      <c r="Q36" s="39"/>
      <c r="R36" s="39"/>
      <c r="S36" s="95">
        <f t="shared" si="5"/>
        <v>4</v>
      </c>
      <c r="T36" s="96">
        <f t="shared" si="1"/>
        <v>4</v>
      </c>
      <c r="U36" s="96">
        <f>LARGE($T$33:$T$40,ROWS(T$33:T36))</f>
        <v>5</v>
      </c>
      <c r="V36" s="96">
        <f t="shared" si="6"/>
        <v>37</v>
      </c>
      <c r="W36" s="100">
        <f>ROUND(SUM(W33:W35)*T11%,0)</f>
        <v>0</v>
      </c>
      <c r="X36" s="98">
        <f>IF(W36=0,"",(CONCATENATE("Add: NDP Prem (Nil/Zero Depreciation Cover) @ ",T11,"%")))</f>
      </c>
      <c r="Y36" s="99"/>
      <c r="Z36" s="99"/>
      <c r="AA36" s="100">
        <f>ROUND(SUM($AA$33:$AA$35)*$V$15%,0)</f>
        <v>239</v>
      </c>
      <c r="AB36" s="100"/>
      <c r="AC36" s="100">
        <f>ROUND(SUM($AC$33:$AC$35)*$V$15%,0)</f>
        <v>239</v>
      </c>
      <c r="AD36" s="100"/>
      <c r="AE36" s="100"/>
    </row>
    <row r="37" spans="1:31" s="43" customFormat="1" ht="22.5" customHeight="1">
      <c r="A37" s="75"/>
      <c r="B37" s="83"/>
      <c r="C37" s="84"/>
      <c r="D37" s="657">
        <f t="shared" si="2"/>
      </c>
      <c r="E37" s="657"/>
      <c r="F37" s="657"/>
      <c r="G37" s="657"/>
      <c r="H37" s="93">
        <f t="shared" si="3"/>
      </c>
      <c r="I37" s="94">
        <f t="shared" si="4"/>
      </c>
      <c r="J37" s="84"/>
      <c r="K37" s="90"/>
      <c r="L37" s="39"/>
      <c r="M37" s="39"/>
      <c r="N37" s="39"/>
      <c r="O37" s="39"/>
      <c r="P37" s="39"/>
      <c r="Q37" s="39"/>
      <c r="R37" s="39"/>
      <c r="S37" s="95">
        <f t="shared" si="5"/>
        <v>5</v>
      </c>
      <c r="T37" s="96">
        <f t="shared" si="1"/>
        <v>5</v>
      </c>
      <c r="U37" s="96">
        <f>LARGE($T$33:$T$40,ROWS(T$33:T37))</f>
        <v>4</v>
      </c>
      <c r="V37" s="96">
        <f t="shared" si="6"/>
        <v>36</v>
      </c>
      <c r="W37" s="100">
        <f>ROUND(IF(K12=1,(D10+F10)*U11%,0),0)</f>
        <v>0</v>
      </c>
      <c r="X37" s="98">
        <f>IF(W37=0,"",(CONCATENATE("Add: RTI Prem (Return to Invoice Cover) @ ",U11,"%")))</f>
      </c>
      <c r="Y37" s="99"/>
      <c r="Z37" s="99"/>
      <c r="AA37" s="100">
        <f>ROUND(($D$10+$F$10)*$U$11%,0)</f>
        <v>0</v>
      </c>
      <c r="AB37" s="100">
        <f>ROUND(($D$10+$F$10)*$U$11%,0)</f>
        <v>0</v>
      </c>
      <c r="AC37" s="100"/>
      <c r="AD37" s="100"/>
      <c r="AE37" s="100"/>
    </row>
    <row r="38" spans="1:31" s="43" customFormat="1" ht="22.5" customHeight="1">
      <c r="A38" s="75"/>
      <c r="B38" s="83"/>
      <c r="C38" s="84"/>
      <c r="D38" s="657">
        <f t="shared" si="2"/>
      </c>
      <c r="E38" s="657"/>
      <c r="F38" s="657"/>
      <c r="G38" s="657"/>
      <c r="H38" s="93">
        <f t="shared" si="3"/>
      </c>
      <c r="I38" s="94">
        <f t="shared" si="4"/>
      </c>
      <c r="J38" s="84"/>
      <c r="K38" s="90"/>
      <c r="L38" s="39"/>
      <c r="M38" s="39"/>
      <c r="N38" s="39"/>
      <c r="O38" s="39"/>
      <c r="P38" s="39"/>
      <c r="Q38" s="39"/>
      <c r="R38" s="39"/>
      <c r="S38" s="95">
        <f t="shared" si="5"/>
        <v>6</v>
      </c>
      <c r="T38" s="96">
        <f t="shared" si="1"/>
        <v>6</v>
      </c>
      <c r="U38" s="96">
        <f>LARGE($T$33:$T$40,ROWS(T$33:T38))</f>
        <v>3</v>
      </c>
      <c r="V38" s="96">
        <f t="shared" si="6"/>
        <v>35</v>
      </c>
      <c r="W38" s="100">
        <f>-ROUND(SUM(W33:W35)*I13%,0)</f>
        <v>0</v>
      </c>
      <c r="X38" s="98">
        <f>IF(W38=0,"",(CONCATENATE("Less: Underwritier's (De-Tariff) Discount @ ",I13,"%")))</f>
      </c>
      <c r="Y38" s="99"/>
      <c r="Z38" s="99"/>
      <c r="AA38" s="100">
        <f>-ROUND(SUM($AA$33:$AA$35)*$I$13%,0)</f>
        <v>-342</v>
      </c>
      <c r="AB38" s="100">
        <f>-ROUND(SUM($AB$33:$AB$35)*$I$13%,0)</f>
        <v>-342</v>
      </c>
      <c r="AC38" s="100">
        <f>-ROUND(SUM($AC$33:$AC$35)*$I$13%,0)</f>
        <v>-342</v>
      </c>
      <c r="AD38" s="100">
        <f>-ROUND(SUM($AD$33:$AD$35)*$I$13%,0)</f>
        <v>-342</v>
      </c>
      <c r="AE38" s="100"/>
    </row>
    <row r="39" spans="1:31" s="43" customFormat="1" ht="22.5" customHeight="1">
      <c r="A39" s="75"/>
      <c r="B39" s="83"/>
      <c r="C39" s="84"/>
      <c r="D39" s="657">
        <f t="shared" si="2"/>
      </c>
      <c r="E39" s="657"/>
      <c r="F39" s="657"/>
      <c r="G39" s="657"/>
      <c r="H39" s="93">
        <f t="shared" si="3"/>
      </c>
      <c r="I39" s="94">
        <f t="shared" si="4"/>
      </c>
      <c r="J39" s="84"/>
      <c r="K39" s="90"/>
      <c r="L39" s="39"/>
      <c r="M39" s="39"/>
      <c r="N39" s="103"/>
      <c r="O39" s="39"/>
      <c r="P39" s="39"/>
      <c r="Q39" s="39"/>
      <c r="R39" s="39"/>
      <c r="S39" s="95">
        <f t="shared" si="5"/>
        <v>7</v>
      </c>
      <c r="T39" s="96">
        <f t="shared" si="1"/>
        <v>7</v>
      </c>
      <c r="U39" s="96">
        <f>LARGE($T$33:$T$40,ROWS(T$33:T39))</f>
        <v>2</v>
      </c>
      <c r="V39" s="96">
        <f t="shared" si="6"/>
        <v>34</v>
      </c>
      <c r="W39" s="100">
        <f>-ROUND((W36+W37)*T15%,0)</f>
        <v>0</v>
      </c>
      <c r="X39" s="98">
        <f>IF(W39=0,"",(CONCATENATE("Less: Discount on Add-on-Covers (ACD) @ ",T15,"%")))</f>
      </c>
      <c r="Y39" s="99"/>
      <c r="Z39" s="99"/>
      <c r="AA39" s="100">
        <f>-ROUND(($AA$36+$AA$37)*$T$15%,0)</f>
        <v>-120</v>
      </c>
      <c r="AB39" s="100">
        <f>-ROUND(($AB$36+$AB$37)*$T$15%,0)</f>
        <v>0</v>
      </c>
      <c r="AC39" s="100">
        <f>-ROUND(($AC$36+$AC$37)*$T$15%,0)</f>
        <v>-120</v>
      </c>
      <c r="AD39" s="100"/>
      <c r="AE39" s="100"/>
    </row>
    <row r="40" spans="1:31" s="43" customFormat="1" ht="22.5" customHeight="1">
      <c r="A40" s="75"/>
      <c r="B40" s="83"/>
      <c r="C40" s="84"/>
      <c r="D40" s="657">
        <f t="shared" si="2"/>
      </c>
      <c r="E40" s="657"/>
      <c r="F40" s="657"/>
      <c r="G40" s="657"/>
      <c r="H40" s="93">
        <f t="shared" si="3"/>
      </c>
      <c r="I40" s="94">
        <f t="shared" si="4"/>
      </c>
      <c r="J40" s="84"/>
      <c r="K40" s="90"/>
      <c r="L40" s="39"/>
      <c r="M40" s="39"/>
      <c r="N40" s="103"/>
      <c r="O40" s="103"/>
      <c r="P40" s="39"/>
      <c r="Q40" s="39"/>
      <c r="R40" s="39"/>
      <c r="S40" s="95">
        <f t="shared" si="5"/>
        <v>8</v>
      </c>
      <c r="T40" s="96">
        <f t="shared" si="1"/>
        <v>8</v>
      </c>
      <c r="U40" s="96">
        <f>LARGE($T$33:$T$40,ROWS(T$33:T40))</f>
        <v>1</v>
      </c>
      <c r="V40" s="96">
        <f t="shared" si="6"/>
        <v>33</v>
      </c>
      <c r="W40" s="100">
        <f>-ROUND((SUM(W33:W39,-W37)*G13%),2)</f>
        <v>0</v>
      </c>
      <c r="X40" s="98">
        <f>IF(W40=0,"",(CONCATENATE("Less: No Claim Bonus @ ",G13,"% (Subject to No Claim)")))</f>
      </c>
      <c r="Y40" s="99"/>
      <c r="Z40" s="99"/>
      <c r="AA40" s="100">
        <f>-ROUND((SUM($AA$33:$AA$39,-$AA$37)*$G$13%),2)</f>
        <v>-92.04</v>
      </c>
      <c r="AB40" s="100">
        <f>-ROUND((SUM($AB$33:$AB$39,-$AB$37)*$G$13%),2)</f>
        <v>-68.24</v>
      </c>
      <c r="AC40" s="100">
        <f>-ROUND((SUM($AC$33:$AC$39,-$AC$37)*$G$13%),2)</f>
        <v>-92.04</v>
      </c>
      <c r="AD40" s="100">
        <f>-ROUND((SUM($AD$33:$AD$39,-$AD$37)*$G$13%),2)</f>
        <v>-68.24</v>
      </c>
      <c r="AE40" s="100"/>
    </row>
    <row r="41" spans="1:31" s="43" customFormat="1" ht="18.75" customHeight="1">
      <c r="A41" s="75"/>
      <c r="B41" s="83"/>
      <c r="C41" s="84"/>
      <c r="D41" s="658" t="str">
        <f>IF(I41=100,"Net Own Damage Premium (Min Prem)","Net Own Damage Premium")</f>
        <v>Net Own Damage Premium</v>
      </c>
      <c r="E41" s="658"/>
      <c r="F41" s="658"/>
      <c r="G41" s="316"/>
      <c r="H41" s="101" t="s">
        <v>106</v>
      </c>
      <c r="I41" s="102">
        <f>W41</f>
        <v>0</v>
      </c>
      <c r="J41" s="84"/>
      <c r="K41" s="90"/>
      <c r="L41" s="39"/>
      <c r="M41" s="39"/>
      <c r="N41" s="103">
        <f>ROUND(I41*17.5%,0)</f>
        <v>0</v>
      </c>
      <c r="O41" s="103"/>
      <c r="P41" s="39"/>
      <c r="Q41" s="39"/>
      <c r="R41" s="39"/>
      <c r="S41" s="95"/>
      <c r="T41" s="96"/>
      <c r="U41" s="96"/>
      <c r="V41" s="96"/>
      <c r="W41" s="100">
        <f>ROUND(IF(W33=0,0,IF(D10=0,0,(MAX((SUM(W33:W40)),100)))),0)</f>
        <v>0</v>
      </c>
      <c r="X41" s="86"/>
      <c r="Y41" s="87"/>
      <c r="Z41" s="86"/>
      <c r="AA41" s="100">
        <f>ROUND(IF($AA$33=0,0,IF($D$10=0,0,(MAX((SUM($AA$33:$AA$40)),100)))),0)</f>
        <v>368</v>
      </c>
      <c r="AB41" s="100">
        <f>ROUND(IF($AB$33=0,0,IF($D$10=0,0,(MAX((SUM($AB$33:$AB$40)),100)))),0)</f>
        <v>273</v>
      </c>
      <c r="AC41" s="100">
        <f>ROUND(IF($AC$33=0,0,IF($D$10=0,0,(MAX((SUM($AC$33:$AC$40)),100)))),0)</f>
        <v>368</v>
      </c>
      <c r="AD41" s="100">
        <f>ROUND(IF($AD$33=0,0,IF($D$10=0,0,(MAX((SUM($AD$33:$AD$40)),100)))),0)</f>
        <v>273</v>
      </c>
      <c r="AE41" s="100"/>
    </row>
    <row r="42" spans="1:31" s="43" customFormat="1" ht="22.5" customHeight="1">
      <c r="A42" s="75"/>
      <c r="B42" s="83"/>
      <c r="C42" s="84"/>
      <c r="D42" s="657" t="str">
        <f>IF(U42&lt;12,"",(VLOOKUP(U42,$V$42:$X$45,3,0)))</f>
        <v>Basic Third Party Premium</v>
      </c>
      <c r="E42" s="657"/>
      <c r="F42" s="657"/>
      <c r="G42" s="657"/>
      <c r="H42" s="93" t="str">
        <f t="shared" si="3"/>
        <v>:</v>
      </c>
      <c r="I42" s="94">
        <f>IF(U42&lt;24,"",VLOOKUP(U42,$V$42:$X$45,2,0))</f>
        <v>720</v>
      </c>
      <c r="J42" s="84"/>
      <c r="K42" s="90"/>
      <c r="L42" s="39"/>
      <c r="M42" s="39"/>
      <c r="N42" s="103">
        <f>ROUND(I46*2.5%,0)</f>
        <v>26</v>
      </c>
      <c r="O42" s="103"/>
      <c r="P42" s="39"/>
      <c r="Q42" s="39"/>
      <c r="R42" s="39"/>
      <c r="S42" s="95">
        <v>1</v>
      </c>
      <c r="T42" s="96">
        <f>IF(W42=0,S42,V42)</f>
        <v>40</v>
      </c>
      <c r="U42" s="96">
        <f>LARGE($T$42:$T$45,ROWS(T$42:T42))</f>
        <v>40</v>
      </c>
      <c r="V42" s="96">
        <v>40</v>
      </c>
      <c r="W42" s="100">
        <f>Z11</f>
        <v>720</v>
      </c>
      <c r="X42" s="98" t="s">
        <v>116</v>
      </c>
      <c r="Y42" s="99"/>
      <c r="Z42" s="99"/>
      <c r="AA42" s="100">
        <f>$Z$11</f>
        <v>720</v>
      </c>
      <c r="AB42" s="100">
        <f>$Z$11</f>
        <v>720</v>
      </c>
      <c r="AC42" s="100">
        <f>$Z$11</f>
        <v>720</v>
      </c>
      <c r="AD42" s="100">
        <f>$Z$11</f>
        <v>720</v>
      </c>
      <c r="AE42" s="100">
        <f>$Z$11</f>
        <v>720</v>
      </c>
    </row>
    <row r="43" spans="1:31" s="43" customFormat="1" ht="22.5" customHeight="1">
      <c r="A43" s="75"/>
      <c r="B43" s="83"/>
      <c r="C43" s="84"/>
      <c r="D43" s="657" t="str">
        <f>IF(U43&lt;12,"",(VLOOKUP(U43,$V$42:$X$45,3,0)))</f>
        <v>Owner Driver Compulsory PA @ 15,00,000</v>
      </c>
      <c r="E43" s="657"/>
      <c r="F43" s="657"/>
      <c r="G43" s="657"/>
      <c r="H43" s="93" t="str">
        <f t="shared" si="3"/>
        <v>:</v>
      </c>
      <c r="I43" s="94">
        <f>IF(U43&lt;24,"",VLOOKUP(U43,$V$42:$X$45,2,0))</f>
        <v>320</v>
      </c>
      <c r="J43" s="84"/>
      <c r="K43" s="90"/>
      <c r="L43" s="39"/>
      <c r="M43" s="39"/>
      <c r="N43" s="103">
        <f>IF(F7&gt;3,(N41+N42),N41)</f>
        <v>0</v>
      </c>
      <c r="O43" s="103"/>
      <c r="P43" s="39"/>
      <c r="Q43" s="39"/>
      <c r="R43" s="39"/>
      <c r="S43" s="95">
        <f>S42+1</f>
        <v>2</v>
      </c>
      <c r="T43" s="96">
        <f>IF(W43=0,S43,V43)</f>
        <v>39</v>
      </c>
      <c r="U43" s="96">
        <f>LARGE($T$42:$T$45,ROWS(T$42:T43))</f>
        <v>39</v>
      </c>
      <c r="V43" s="96">
        <f>V42-1</f>
        <v>39</v>
      </c>
      <c r="W43" s="100">
        <f>IF(K13=1,320,0)</f>
        <v>320</v>
      </c>
      <c r="X43" s="98" t="str">
        <f>IF(W43=0,"","Owner Driver Compulsory PA @ 15,00,000")</f>
        <v>Owner Driver Compulsory PA @ 15,00,000</v>
      </c>
      <c r="Y43" s="99"/>
      <c r="Z43" s="99"/>
      <c r="AA43" s="100">
        <f>IF($K$13=1,320,0)</f>
        <v>320</v>
      </c>
      <c r="AB43" s="100">
        <f>IF($K$13=1,320,0)</f>
        <v>320</v>
      </c>
      <c r="AC43" s="100">
        <f>IF($K$13=1,320,0)</f>
        <v>320</v>
      </c>
      <c r="AD43" s="100">
        <f>IF($K$13=1,320,0)</f>
        <v>320</v>
      </c>
      <c r="AE43" s="100">
        <f>IF($K$13=1,320,0)</f>
        <v>320</v>
      </c>
    </row>
    <row r="44" spans="1:31" s="43" customFormat="1" ht="22.5" customHeight="1">
      <c r="A44" s="75"/>
      <c r="B44" s="83"/>
      <c r="C44" s="84"/>
      <c r="D44" s="657">
        <f>IF(U44&lt;12,"",(VLOOKUP(U44,$V$42:$X$45,3,0)))</f>
      </c>
      <c r="E44" s="657"/>
      <c r="F44" s="657"/>
      <c r="G44" s="657"/>
      <c r="H44" s="93">
        <f t="shared" si="3"/>
      </c>
      <c r="I44" s="94">
        <f>IF(U44&lt;24,"",VLOOKUP(U44,$V$42:$X$45,2,0))</f>
      </c>
      <c r="J44" s="84"/>
      <c r="K44" s="90"/>
      <c r="L44" s="39"/>
      <c r="M44" s="39"/>
      <c r="N44" s="103"/>
      <c r="O44" s="103"/>
      <c r="P44" s="39"/>
      <c r="Q44" s="39"/>
      <c r="R44" s="39"/>
      <c r="S44" s="95">
        <f>S43+1</f>
        <v>3</v>
      </c>
      <c r="T44" s="96">
        <f>IF(W44=0,S44,V44)</f>
        <v>3</v>
      </c>
      <c r="U44" s="96">
        <f>LARGE($T$42:$T$45,ROWS(T$42:T44))</f>
        <v>4</v>
      </c>
      <c r="V44" s="96">
        <f>V43-1</f>
        <v>38</v>
      </c>
      <c r="W44" s="100">
        <f>-IF(K14=1,50,0)</f>
        <v>0</v>
      </c>
      <c r="X44" s="98">
        <f>IF(W44=0,"","Less: Prem on Limiting TPPD upto Rs.6000/-")</f>
      </c>
      <c r="Y44" s="99"/>
      <c r="Z44" s="99"/>
      <c r="AA44" s="100">
        <f>-IF($K$14=1,50,0)</f>
        <v>0</v>
      </c>
      <c r="AB44" s="100">
        <f>-IF($K$14=1,50,0)</f>
        <v>0</v>
      </c>
      <c r="AC44" s="100">
        <f>-IF($K$14=1,50,0)</f>
        <v>0</v>
      </c>
      <c r="AD44" s="100">
        <f>-IF($K$14=1,50,0)</f>
        <v>0</v>
      </c>
      <c r="AE44" s="100">
        <f>-IF($K$14=1,50,0)</f>
        <v>0</v>
      </c>
    </row>
    <row r="45" spans="1:31" s="43" customFormat="1" ht="22.5" customHeight="1">
      <c r="A45" s="75"/>
      <c r="B45" s="83"/>
      <c r="C45" s="84"/>
      <c r="D45" s="657">
        <f>IF(U45&lt;12,"",(VLOOKUP(U45,$V$42:$X$45,3,0)))</f>
      </c>
      <c r="E45" s="657"/>
      <c r="F45" s="657"/>
      <c r="G45" s="657"/>
      <c r="H45" s="93">
        <f t="shared" si="3"/>
      </c>
      <c r="I45" s="94">
        <f>IF(U45&lt;24,"",VLOOKUP(U45,$V$42:$X$45,2,0))</f>
      </c>
      <c r="J45" s="84"/>
      <c r="K45" s="90"/>
      <c r="L45" s="39"/>
      <c r="M45" s="39"/>
      <c r="N45" s="39"/>
      <c r="O45" s="39"/>
      <c r="P45" s="39"/>
      <c r="Q45" s="39"/>
      <c r="R45" s="39"/>
      <c r="S45" s="95">
        <f>S44+1</f>
        <v>4</v>
      </c>
      <c r="T45" s="96">
        <f>IF(W45=0,S45,V45)</f>
        <v>4</v>
      </c>
      <c r="U45" s="96">
        <f>LARGE($T$42:$T$45,ROWS(T$42:T45))</f>
        <v>3</v>
      </c>
      <c r="V45" s="96">
        <f>V44-1</f>
        <v>37</v>
      </c>
      <c r="W45" s="100">
        <f>(F13/1000*0.7)</f>
        <v>0</v>
      </c>
      <c r="X45" s="98">
        <f>IF(W45=0,"",CONCATENATE("Add: PA Cover @ Rs.",F13,"/-"," to Pillion Rider"))</f>
      </c>
      <c r="Y45" s="99"/>
      <c r="Z45" s="99"/>
      <c r="AA45" s="100">
        <f>($F$13/1000*0.7)</f>
        <v>0</v>
      </c>
      <c r="AB45" s="100">
        <f>($F$13/1000*0.7)</f>
        <v>0</v>
      </c>
      <c r="AC45" s="100">
        <f>($F$13/1000*0.7)</f>
        <v>0</v>
      </c>
      <c r="AD45" s="100">
        <f>($F$13/1000*0.7)</f>
        <v>0</v>
      </c>
      <c r="AE45" s="100">
        <f>($F$13/1000*0.7)</f>
        <v>0</v>
      </c>
    </row>
    <row r="46" spans="1:31" s="43" customFormat="1" ht="18.75" customHeight="1">
      <c r="A46" s="75"/>
      <c r="B46" s="83"/>
      <c r="C46" s="84"/>
      <c r="D46" s="658" t="s">
        <v>379</v>
      </c>
      <c r="E46" s="658"/>
      <c r="F46" s="658"/>
      <c r="G46" s="658"/>
      <c r="H46" s="101" t="s">
        <v>106</v>
      </c>
      <c r="I46" s="102">
        <f>W46</f>
        <v>1040</v>
      </c>
      <c r="J46" s="84"/>
      <c r="K46" s="90"/>
      <c r="L46" s="39"/>
      <c r="M46" s="39"/>
      <c r="N46" s="39"/>
      <c r="O46" s="39"/>
      <c r="P46" s="39"/>
      <c r="Q46" s="39"/>
      <c r="R46" s="39"/>
      <c r="S46" s="103"/>
      <c r="T46" s="104"/>
      <c r="U46" s="104"/>
      <c r="V46" s="104"/>
      <c r="W46" s="105">
        <f>ROUND(SUM(W42:W45),0)</f>
        <v>1040</v>
      </c>
      <c r="X46" s="74"/>
      <c r="Y46" s="87"/>
      <c r="Z46" s="86"/>
      <c r="AA46" s="105">
        <f>ROUND(SUM($AA$42:$AA$45),0)</f>
        <v>1040</v>
      </c>
      <c r="AB46" s="105">
        <f>ROUND(SUM($AB$42:$AB$45),0)</f>
        <v>1040</v>
      </c>
      <c r="AC46" s="105">
        <f>ROUND(SUM($AC$42:$AC$45),0)</f>
        <v>1040</v>
      </c>
      <c r="AD46" s="105">
        <f>ROUND(SUM($AD$42:$AD$45),0)</f>
        <v>1040</v>
      </c>
      <c r="AE46" s="105">
        <f>ROUND(SUM($AE$42:$AE$45),0)</f>
        <v>1040</v>
      </c>
    </row>
    <row r="47" spans="1:31" s="43" customFormat="1" ht="22.5" customHeight="1">
      <c r="A47" s="75"/>
      <c r="B47" s="83"/>
      <c r="C47" s="84"/>
      <c r="D47" s="662" t="s">
        <v>380</v>
      </c>
      <c r="E47" s="662"/>
      <c r="F47" s="662"/>
      <c r="G47" s="662"/>
      <c r="H47" s="93" t="s">
        <v>106</v>
      </c>
      <c r="I47" s="106">
        <f>SUM(I46,I41)</f>
        <v>1040</v>
      </c>
      <c r="J47" s="84"/>
      <c r="K47" s="90"/>
      <c r="L47" s="39"/>
      <c r="M47" s="39"/>
      <c r="N47" s="39"/>
      <c r="O47" s="39"/>
      <c r="P47" s="39"/>
      <c r="Q47" s="39"/>
      <c r="R47" s="39"/>
      <c r="S47" s="103"/>
      <c r="T47" s="104"/>
      <c r="U47" s="104"/>
      <c r="V47" s="104"/>
      <c r="W47" s="100">
        <f>SUM(W46,W41)</f>
        <v>1040</v>
      </c>
      <c r="X47" s="74"/>
      <c r="Y47" s="87"/>
      <c r="Z47" s="86"/>
      <c r="AA47" s="100">
        <f>SUM($AA$46,$AA$41)</f>
        <v>1408</v>
      </c>
      <c r="AB47" s="100">
        <f>SUM($AB$46,$AB$41)</f>
        <v>1313</v>
      </c>
      <c r="AC47" s="100">
        <f>SUM($AC$46,$AC$41)</f>
        <v>1408</v>
      </c>
      <c r="AD47" s="100">
        <f>SUM($AD$46,$AD$41)</f>
        <v>1313</v>
      </c>
      <c r="AE47" s="100">
        <f>SUM($AE$46,$AE$41)</f>
        <v>1040</v>
      </c>
    </row>
    <row r="48" spans="1:31" s="43" customFormat="1" ht="22.5" customHeight="1">
      <c r="A48" s="75"/>
      <c r="B48" s="83"/>
      <c r="C48" s="84"/>
      <c r="D48" s="662" t="str">
        <f>CONCATENATE("Add: GST (Goods and Services Tax) @ ",Sign!$F$15,"%")</f>
        <v>Add: GST (Goods and Services Tax) @ 18%</v>
      </c>
      <c r="E48" s="662"/>
      <c r="F48" s="662"/>
      <c r="G48" s="662"/>
      <c r="H48" s="93" t="s">
        <v>106</v>
      </c>
      <c r="I48" s="106">
        <f>W48</f>
        <v>188</v>
      </c>
      <c r="J48" s="84"/>
      <c r="K48" s="90"/>
      <c r="L48" s="39"/>
      <c r="M48" s="39"/>
      <c r="N48" s="39"/>
      <c r="O48" s="39"/>
      <c r="P48" s="39"/>
      <c r="Q48" s="39"/>
      <c r="R48" s="39"/>
      <c r="S48" s="103"/>
      <c r="T48" s="104"/>
      <c r="U48" s="104"/>
      <c r="V48" s="104"/>
      <c r="W48" s="100">
        <f>SUM(W52:W54)</f>
        <v>188</v>
      </c>
      <c r="X48" s="74"/>
      <c r="Y48" s="87"/>
      <c r="Z48" s="86"/>
      <c r="AA48" s="100">
        <f>SUM(AA52:AA54)</f>
        <v>254</v>
      </c>
      <c r="AB48" s="100">
        <f>SUM(AB52:AB54)</f>
        <v>236</v>
      </c>
      <c r="AC48" s="100">
        <f>SUM(AC52:AC54)</f>
        <v>254</v>
      </c>
      <c r="AD48" s="100">
        <f>SUM(AD52:AD54)</f>
        <v>236</v>
      </c>
      <c r="AE48" s="100">
        <f>SUM(AE52:AE54)</f>
        <v>188</v>
      </c>
    </row>
    <row r="49" spans="1:31" s="43" customFormat="1" ht="18.75" customHeight="1">
      <c r="A49" s="75"/>
      <c r="B49" s="83"/>
      <c r="C49" s="84"/>
      <c r="D49" s="658" t="s">
        <v>378</v>
      </c>
      <c r="E49" s="658"/>
      <c r="F49" s="658"/>
      <c r="G49" s="317"/>
      <c r="H49" s="101" t="s">
        <v>106</v>
      </c>
      <c r="I49" s="102">
        <f>SUM(I47:I48)</f>
        <v>1228</v>
      </c>
      <c r="J49" s="84"/>
      <c r="K49" s="90"/>
      <c r="L49" s="39"/>
      <c r="M49" s="39"/>
      <c r="N49" s="39"/>
      <c r="O49" s="39"/>
      <c r="P49" s="39"/>
      <c r="Q49" s="39"/>
      <c r="R49" s="39"/>
      <c r="S49" s="103"/>
      <c r="T49" s="107">
        <f>IF(I4="",2,IF(I4="Liability Only",2,IF(D10&lt;1,2,1)))</f>
        <v>2</v>
      </c>
      <c r="U49" s="107"/>
      <c r="V49" s="104"/>
      <c r="W49" s="108">
        <f>SUM(W47:W48)</f>
        <v>1228</v>
      </c>
      <c r="X49" s="74"/>
      <c r="Y49" s="87"/>
      <c r="Z49" s="86"/>
      <c r="AA49" s="108">
        <f>SUM(AA47:AA48)</f>
        <v>1662</v>
      </c>
      <c r="AB49" s="108">
        <f>SUM(AB47:AB48)</f>
        <v>1549</v>
      </c>
      <c r="AC49" s="108">
        <f>SUM(AC47:AC48)</f>
        <v>1662</v>
      </c>
      <c r="AD49" s="108">
        <f>SUM(AD47:AD48)</f>
        <v>1549</v>
      </c>
      <c r="AE49" s="108">
        <f>SUM(AE47:AE48)</f>
        <v>1228</v>
      </c>
    </row>
    <row r="50" spans="1:32" s="43" customFormat="1" ht="7.5" customHeight="1">
      <c r="A50" s="79"/>
      <c r="B50" s="109"/>
      <c r="C50" s="84"/>
      <c r="D50" s="84"/>
      <c r="E50" s="84"/>
      <c r="F50" s="84"/>
      <c r="G50" s="84"/>
      <c r="H50" s="84"/>
      <c r="I50" s="84"/>
      <c r="J50" s="84"/>
      <c r="K50" s="90"/>
      <c r="L50" s="39"/>
      <c r="M50" s="39"/>
      <c r="N50" s="48"/>
      <c r="O50" s="48"/>
      <c r="P50" s="48"/>
      <c r="Q50" s="39"/>
      <c r="R50" s="39"/>
      <c r="S50" s="110"/>
      <c r="T50" s="74"/>
      <c r="U50" s="74"/>
      <c r="V50" s="111"/>
      <c r="W50" s="111"/>
      <c r="X50" s="74"/>
      <c r="Y50" s="87"/>
      <c r="Z50" s="86"/>
      <c r="AA50" s="111"/>
      <c r="AB50" s="111"/>
      <c r="AC50" s="111"/>
      <c r="AD50" s="111"/>
      <c r="AE50" s="111"/>
      <c r="AF50" s="48"/>
    </row>
    <row r="51" spans="1:32" s="43" customFormat="1" ht="3" customHeight="1">
      <c r="A51" s="79"/>
      <c r="B51" s="659"/>
      <c r="C51" s="660"/>
      <c r="D51" s="660"/>
      <c r="E51" s="660"/>
      <c r="F51" s="660"/>
      <c r="G51" s="660"/>
      <c r="H51" s="660"/>
      <c r="I51" s="660"/>
      <c r="J51" s="661"/>
      <c r="K51" s="90"/>
      <c r="L51" s="110"/>
      <c r="M51" s="110"/>
      <c r="N51" s="41"/>
      <c r="O51" s="41"/>
      <c r="P51" s="41"/>
      <c r="Q51" s="110"/>
      <c r="R51" s="110"/>
      <c r="S51" s="110"/>
      <c r="T51" s="74"/>
      <c r="U51" s="74"/>
      <c r="V51" s="111"/>
      <c r="W51" s="111"/>
      <c r="X51" s="74"/>
      <c r="Y51" s="111"/>
      <c r="Z51" s="111"/>
      <c r="AA51" s="111"/>
      <c r="AB51" s="111"/>
      <c r="AC51" s="111"/>
      <c r="AD51" s="111"/>
      <c r="AE51" s="111"/>
      <c r="AF51" s="48"/>
    </row>
    <row r="52" spans="1:32" s="43" customFormat="1" ht="15">
      <c r="A52" s="79"/>
      <c r="B52" s="663" t="str">
        <f>Sign!A16</f>
        <v>G. Lingachari, AO (Mktg), DO-VI, 98856 32211, 040 2340 3147, lingachari@orientalinsurance.co.in</v>
      </c>
      <c r="C52" s="664"/>
      <c r="D52" s="664"/>
      <c r="E52" s="664"/>
      <c r="F52" s="664"/>
      <c r="G52" s="664"/>
      <c r="H52" s="664"/>
      <c r="I52" s="664"/>
      <c r="J52" s="665"/>
      <c r="K52" s="90"/>
      <c r="L52" s="110"/>
      <c r="M52" s="110"/>
      <c r="N52" s="41"/>
      <c r="O52" s="41"/>
      <c r="P52" s="41"/>
      <c r="Q52" s="110"/>
      <c r="R52" s="110"/>
      <c r="S52" s="110"/>
      <c r="T52" s="74"/>
      <c r="U52" s="74"/>
      <c r="V52" s="112"/>
      <c r="W52" s="353">
        <f>ROUND(W$47*Sign!$E$12%,0)</f>
        <v>94</v>
      </c>
      <c r="X52" s="74"/>
      <c r="Y52" s="111"/>
      <c r="Z52" s="111"/>
      <c r="AA52" s="353">
        <f>ROUND(AA$47*Sign!$E$12%,0)</f>
        <v>127</v>
      </c>
      <c r="AB52" s="353">
        <f>ROUND(AB$47*Sign!$E$12%,0)</f>
        <v>118</v>
      </c>
      <c r="AC52" s="353">
        <f>ROUND(AC$47*Sign!$E$12%,0)</f>
        <v>127</v>
      </c>
      <c r="AD52" s="353">
        <f>ROUND(AD$47*Sign!$E$12%,0)</f>
        <v>118</v>
      </c>
      <c r="AE52" s="353">
        <f>ROUND(AE$47*Sign!$E$12%,0)</f>
        <v>94</v>
      </c>
      <c r="AF52" s="48"/>
    </row>
    <row r="53" spans="1:32" s="43" customFormat="1" ht="3" customHeight="1">
      <c r="A53" s="79"/>
      <c r="B53" s="113"/>
      <c r="C53" s="114"/>
      <c r="D53" s="114"/>
      <c r="E53" s="114"/>
      <c r="F53" s="114"/>
      <c r="G53" s="114"/>
      <c r="H53" s="114"/>
      <c r="I53" s="114"/>
      <c r="J53" s="114"/>
      <c r="K53" s="115"/>
      <c r="L53" s="110"/>
      <c r="M53" s="110"/>
      <c r="N53" s="110"/>
      <c r="O53" s="110"/>
      <c r="P53" s="110"/>
      <c r="Q53" s="110"/>
      <c r="R53" s="110"/>
      <c r="S53" s="110"/>
      <c r="T53" s="74"/>
      <c r="U53" s="74"/>
      <c r="V53" s="111"/>
      <c r="W53" s="111"/>
      <c r="X53" s="111"/>
      <c r="Y53" s="111"/>
      <c r="Z53" s="111"/>
      <c r="AA53" s="111"/>
      <c r="AB53" s="111"/>
      <c r="AC53" s="111"/>
      <c r="AD53" s="111"/>
      <c r="AE53" s="111"/>
      <c r="AF53" s="48"/>
    </row>
    <row r="54" spans="1:32" ht="15">
      <c r="A54" s="79"/>
      <c r="B54" s="79"/>
      <c r="C54" s="79"/>
      <c r="D54" s="79"/>
      <c r="E54" s="79"/>
      <c r="F54" s="79"/>
      <c r="G54" s="79"/>
      <c r="H54" s="79"/>
      <c r="I54" s="79"/>
      <c r="J54" s="79"/>
      <c r="K54" s="116"/>
      <c r="L54" s="110"/>
      <c r="M54" s="110"/>
      <c r="N54" s="110">
        <f>ROUND(I62*0.025,0)</f>
        <v>0</v>
      </c>
      <c r="O54" s="110"/>
      <c r="P54" s="110"/>
      <c r="Q54" s="110"/>
      <c r="R54" s="110"/>
      <c r="S54" s="110"/>
      <c r="T54" s="74"/>
      <c r="U54" s="74"/>
      <c r="V54" s="111"/>
      <c r="W54" s="353">
        <f>ROUND(W$47*Sign!$E$13%,0)</f>
        <v>94</v>
      </c>
      <c r="X54" s="79"/>
      <c r="Y54" s="79"/>
      <c r="Z54" s="79"/>
      <c r="AA54" s="353">
        <f>ROUND(AA$47*Sign!$E$13%,0)</f>
        <v>127</v>
      </c>
      <c r="AB54" s="353">
        <f>ROUND(AB$47*Sign!$E$13%,0)</f>
        <v>118</v>
      </c>
      <c r="AC54" s="353">
        <f>ROUND(AC$47*Sign!$E$13%,0)</f>
        <v>127</v>
      </c>
      <c r="AD54" s="353">
        <f>ROUND(AD$47*Sign!$E$13%,0)</f>
        <v>118</v>
      </c>
      <c r="AE54" s="353">
        <f>ROUND(AE$47*Sign!$E$13%,0)</f>
        <v>94</v>
      </c>
      <c r="AF54" s="48"/>
    </row>
    <row r="55" spans="12:19" ht="15" customHeight="1" hidden="1">
      <c r="L55" s="118"/>
      <c r="M55" s="118"/>
      <c r="N55" s="118"/>
      <c r="O55" s="118"/>
      <c r="P55" s="118"/>
      <c r="Q55" s="118"/>
      <c r="R55" s="118"/>
      <c r="S55" s="118"/>
    </row>
    <row r="56" ht="15" customHeight="1" hidden="1"/>
    <row r="57" ht="15" customHeight="1" hidden="1"/>
  </sheetData>
  <sheetProtection password="CE28" sheet="1" selectLockedCells="1"/>
  <mergeCells count="74">
    <mergeCell ref="B51:J51"/>
    <mergeCell ref="D46:G46"/>
    <mergeCell ref="D47:G47"/>
    <mergeCell ref="D48:G48"/>
    <mergeCell ref="B52:J52"/>
    <mergeCell ref="D36:G36"/>
    <mergeCell ref="D37:G37"/>
    <mergeCell ref="D38:G38"/>
    <mergeCell ref="D39:G39"/>
    <mergeCell ref="D49:F49"/>
    <mergeCell ref="D32:I32"/>
    <mergeCell ref="D33:G33"/>
    <mergeCell ref="D45:G45"/>
    <mergeCell ref="D40:G40"/>
    <mergeCell ref="D41:F41"/>
    <mergeCell ref="D34:G34"/>
    <mergeCell ref="D35:G35"/>
    <mergeCell ref="D42:G42"/>
    <mergeCell ref="D43:G43"/>
    <mergeCell ref="D44:G44"/>
    <mergeCell ref="D29:F29"/>
    <mergeCell ref="H29:I29"/>
    <mergeCell ref="D30:F30"/>
    <mergeCell ref="H30:I30"/>
    <mergeCell ref="D31:F31"/>
    <mergeCell ref="H31:I31"/>
    <mergeCell ref="D26:F26"/>
    <mergeCell ref="H26:I26"/>
    <mergeCell ref="D27:F27"/>
    <mergeCell ref="H27:I27"/>
    <mergeCell ref="D28:F28"/>
    <mergeCell ref="H28:I28"/>
    <mergeCell ref="D22:F22"/>
    <mergeCell ref="H22:I22"/>
    <mergeCell ref="D25:F25"/>
    <mergeCell ref="H25:I25"/>
    <mergeCell ref="D23:F23"/>
    <mergeCell ref="H23:I23"/>
    <mergeCell ref="D24:F24"/>
    <mergeCell ref="H24:I24"/>
    <mergeCell ref="Y6:Y7"/>
    <mergeCell ref="Z6:Z7"/>
    <mergeCell ref="G7:H7"/>
    <mergeCell ref="T8:T9"/>
    <mergeCell ref="Y8:Y9"/>
    <mergeCell ref="Z8:Z9"/>
    <mergeCell ref="G9:H9"/>
    <mergeCell ref="K9:L9"/>
    <mergeCell ref="Y2:Y3"/>
    <mergeCell ref="Z2:Z3"/>
    <mergeCell ref="D3:I3"/>
    <mergeCell ref="N3:P4"/>
    <mergeCell ref="N2:P2"/>
    <mergeCell ref="E4:F4"/>
    <mergeCell ref="G4:H4"/>
    <mergeCell ref="T4:T5"/>
    <mergeCell ref="Y4:Y5"/>
    <mergeCell ref="Z4:Z5"/>
    <mergeCell ref="C2:F2"/>
    <mergeCell ref="B18:K18"/>
    <mergeCell ref="T2:T3"/>
    <mergeCell ref="G6:H6"/>
    <mergeCell ref="T6:T7"/>
    <mergeCell ref="G10:H10"/>
    <mergeCell ref="G12:H12"/>
    <mergeCell ref="K10:L10"/>
    <mergeCell ref="G2:H2"/>
    <mergeCell ref="I2:K2"/>
    <mergeCell ref="B19:K19"/>
    <mergeCell ref="C20:K20"/>
    <mergeCell ref="G13:H13"/>
    <mergeCell ref="B15:J15"/>
    <mergeCell ref="G16:H16"/>
    <mergeCell ref="B17:K17"/>
  </mergeCells>
  <dataValidations count="11">
    <dataValidation type="list" allowBlank="1" showInputMessage="1" showErrorMessage="1" sqref="G13:H13">
      <formula1>NCB</formula1>
    </dataValidation>
    <dataValidation type="list" allowBlank="1" showInputMessage="1" showErrorMessage="1" sqref="F13">
      <formula1>$AA$2:$AA$12</formula1>
    </dataValidation>
    <dataValidation type="list" allowBlank="1" showInputMessage="1" showErrorMessage="1" sqref="E13">
      <formula1>"Yes (Limited),No (Wider)"</formula1>
    </dataValidation>
    <dataValidation type="list" allowBlank="1" showInputMessage="1" showErrorMessage="1" sqref="D13">
      <formula1>"Yes (Required),No (Deletion)"</formula1>
    </dataValidation>
    <dataValidation type="list" allowBlank="1" showInputMessage="1" showErrorMessage="1" sqref="I7">
      <formula1>$U$2:$U$3</formula1>
    </dataValidation>
    <dataValidation type="list" allowBlank="1" showErrorMessage="1" sqref="I10">
      <formula1>RTITWO</formula1>
    </dataValidation>
    <dataValidation type="list" allowBlank="1" showErrorMessage="1" sqref="I4">
      <formula1>"Liability Only,Package Policy"</formula1>
    </dataValidation>
    <dataValidation operator="equal" allowBlank="1" showErrorMessage="1" errorTitle="Sum Insured" error="Please Enter the Data Correctly, to validate the Field" sqref="H26:H28">
      <formula1>0</formula1>
    </dataValidation>
    <dataValidation type="list" allowBlank="1" showErrorMessage="1" sqref="G10:H10">
      <formula1>NDP</formula1>
    </dataValidation>
    <dataValidation allowBlank="1" showErrorMessage="1" sqref="K10 E4:F4 D7:F7 D10:F10"/>
    <dataValidation type="decimal" allowBlank="1" showInputMessage="1" showErrorMessage="1" errorTitle="U/w Discount" error="Please Enter the Discount %age Correctly (Max 93.69%), to validate this Field" sqref="I13">
      <formula1>0</formula1>
      <formula2>93.69</formula2>
    </dataValidation>
  </dataValidations>
  <printOptions horizontalCentered="1" verticalCentered="1"/>
  <pageMargins left="0.5" right="0.5" top="0.4" bottom="0.4" header="0.3" footer="0.3"/>
  <pageSetup fitToHeight="1" fitToWidth="1"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tabColor theme="0"/>
    <pageSetUpPr fitToPage="1"/>
  </sheetPr>
  <dimension ref="A1:AJ591"/>
  <sheetViews>
    <sheetView showGridLines="0" showRowColHeaders="0" tabSelected="1" zoomScalePageLayoutView="0" workbookViewId="0" topLeftCell="A1">
      <selection activeCell="E4" sqref="E4:F4"/>
    </sheetView>
  </sheetViews>
  <sheetFormatPr defaultColWidth="0" defaultRowHeight="15" customHeight="1" zeroHeight="1"/>
  <cols>
    <col min="1" max="2" width="2.57421875" style="2" customWidth="1"/>
    <col min="3" max="3" width="2.28125" style="2" customWidth="1"/>
    <col min="4" max="5" width="16.7109375" style="2" customWidth="1"/>
    <col min="6" max="6" width="15.7109375" style="2" customWidth="1"/>
    <col min="7" max="7" width="1.421875" style="2" customWidth="1"/>
    <col min="8" max="9" width="14.7109375" style="2" customWidth="1"/>
    <col min="10" max="10" width="2.28125" style="2" customWidth="1"/>
    <col min="11" max="11" width="2.57421875" style="117" customWidth="1"/>
    <col min="12" max="12" width="1.1484375" style="121" customWidth="1"/>
    <col min="13" max="15" width="18.7109375" style="121" customWidth="1"/>
    <col min="16" max="16" width="2.57421875" style="121" customWidth="1"/>
    <col min="17" max="17" width="4.140625" style="121" hidden="1" customWidth="1"/>
    <col min="18" max="18" width="10.57421875" style="2" hidden="1" customWidth="1"/>
    <col min="19" max="19" width="9.140625" style="2" hidden="1" customWidth="1"/>
    <col min="20" max="20" width="9.7109375" style="2" hidden="1" customWidth="1"/>
    <col min="21" max="21" width="9.421875" style="2" hidden="1" customWidth="1"/>
    <col min="22" max="22" width="7.7109375" style="2" hidden="1" customWidth="1"/>
    <col min="23" max="23" width="8.28125" style="119" hidden="1" customWidth="1"/>
    <col min="24" max="24" width="8.00390625" style="119" hidden="1" customWidth="1"/>
    <col min="25" max="32" width="9.7109375" style="120" hidden="1" customWidth="1"/>
    <col min="33" max="33" width="8.140625" style="2" hidden="1" customWidth="1"/>
    <col min="34" max="34" width="7.140625" style="2" hidden="1" customWidth="1"/>
    <col min="35" max="35" width="7.8515625" style="2" hidden="1" customWidth="1"/>
    <col min="36" max="39" width="9.140625" style="2" hidden="1" customWidth="1"/>
    <col min="40" max="16384" width="9.140625" style="2" hidden="1" customWidth="1"/>
  </cols>
  <sheetData>
    <row r="1" spans="1:36" s="43" customFormat="1" ht="9" customHeight="1">
      <c r="A1" s="372"/>
      <c r="B1" s="39"/>
      <c r="C1" s="39"/>
      <c r="D1" s="39"/>
      <c r="E1" s="39"/>
      <c r="F1" s="39"/>
      <c r="G1" s="39"/>
      <c r="H1" s="39"/>
      <c r="I1" s="39"/>
      <c r="J1" s="39"/>
      <c r="K1" s="39"/>
      <c r="L1" s="39"/>
      <c r="M1" s="39"/>
      <c r="N1" s="39"/>
      <c r="O1" s="39"/>
      <c r="P1" s="39"/>
      <c r="Q1" s="39"/>
      <c r="R1" s="39"/>
      <c r="S1" s="39"/>
      <c r="T1" s="39"/>
      <c r="U1" s="39"/>
      <c r="V1" s="39"/>
      <c r="W1" s="39"/>
      <c r="X1" s="39"/>
      <c r="Y1" s="41"/>
      <c r="Z1" s="42"/>
      <c r="AA1" s="42"/>
      <c r="AB1" s="42"/>
      <c r="AC1" s="42"/>
      <c r="AD1" s="42"/>
      <c r="AE1" s="42"/>
      <c r="AF1" s="42"/>
      <c r="AG1" s="42"/>
      <c r="AH1" s="42"/>
      <c r="AI1" s="42"/>
      <c r="AJ1" s="42"/>
    </row>
    <row r="2" spans="1:36" s="43" customFormat="1" ht="19.5" customHeight="1">
      <c r="A2" s="39"/>
      <c r="B2" s="45"/>
      <c r="C2" s="615" t="s">
        <v>75</v>
      </c>
      <c r="D2" s="616"/>
      <c r="E2" s="616"/>
      <c r="F2" s="682"/>
      <c r="G2" s="683" t="str">
        <f>CONCATENATE("Com: ",IF(I4="Package Policy",AC18,AC17))</f>
        <v>Com: 2778</v>
      </c>
      <c r="H2" s="684"/>
      <c r="I2" s="627" t="s">
        <v>117</v>
      </c>
      <c r="J2" s="685"/>
      <c r="K2" s="686"/>
      <c r="L2" s="95"/>
      <c r="M2" s="669" t="s">
        <v>382</v>
      </c>
      <c r="N2" s="669"/>
      <c r="O2" s="669"/>
      <c r="P2" s="39"/>
      <c r="Q2" s="39"/>
      <c r="R2" s="335" t="s">
        <v>317</v>
      </c>
      <c r="S2" s="336">
        <f>Tariffs!$G$18</f>
        <v>3.127</v>
      </c>
      <c r="T2" s="336">
        <f>Tariffs!$G$19</f>
        <v>3.039</v>
      </c>
      <c r="U2" s="336">
        <f>Tariffs!$G$20</f>
        <v>3.283</v>
      </c>
      <c r="V2" s="336">
        <f>Tariffs!$G$21</f>
        <v>3.191</v>
      </c>
      <c r="W2" s="336">
        <f>Tariffs!$G$22</f>
        <v>3.44</v>
      </c>
      <c r="X2" s="336">
        <f>Tariffs!$G$23</f>
        <v>3.343</v>
      </c>
      <c r="Y2" s="41"/>
      <c r="Z2" s="42"/>
      <c r="AA2" s="42"/>
      <c r="AB2" s="334" t="s">
        <v>317</v>
      </c>
      <c r="AC2" s="343">
        <v>0.16</v>
      </c>
      <c r="AD2" s="343">
        <v>0.19</v>
      </c>
      <c r="AE2" s="344">
        <v>15</v>
      </c>
      <c r="AF2" s="323">
        <v>40</v>
      </c>
      <c r="AG2" s="323">
        <v>0.3</v>
      </c>
      <c r="AH2" s="341">
        <v>0</v>
      </c>
      <c r="AI2" s="342">
        <v>0</v>
      </c>
      <c r="AJ2" s="42"/>
    </row>
    <row r="3" spans="1:36" s="43" customFormat="1" ht="19.5" customHeight="1">
      <c r="A3" s="39"/>
      <c r="B3" s="49"/>
      <c r="C3" s="673"/>
      <c r="D3" s="696"/>
      <c r="E3" s="696"/>
      <c r="F3" s="696"/>
      <c r="G3" s="696"/>
      <c r="H3" s="696"/>
      <c r="I3" s="696"/>
      <c r="J3" s="698"/>
      <c r="K3" s="321"/>
      <c r="L3" s="95"/>
      <c r="M3" s="502" t="s">
        <v>454</v>
      </c>
      <c r="N3" s="502" t="s">
        <v>455</v>
      </c>
      <c r="O3" s="502" t="s">
        <v>456</v>
      </c>
      <c r="P3" s="39"/>
      <c r="Q3" s="39"/>
      <c r="R3" s="335" t="s">
        <v>319</v>
      </c>
      <c r="S3" s="336">
        <f>Tariffs!$G$18</f>
        <v>3.127</v>
      </c>
      <c r="T3" s="336">
        <f>Tariffs!$G$19</f>
        <v>3.039</v>
      </c>
      <c r="U3" s="336">
        <f>Tariffs!$G$20</f>
        <v>3.283</v>
      </c>
      <c r="V3" s="336">
        <f>Tariffs!$G$21</f>
        <v>3.191</v>
      </c>
      <c r="W3" s="336">
        <f>Tariffs!$G$22</f>
        <v>3.44</v>
      </c>
      <c r="X3" s="336">
        <f>Tariffs!$G$23</f>
        <v>3.343</v>
      </c>
      <c r="Y3" s="41"/>
      <c r="Z3" s="42"/>
      <c r="AA3" s="42"/>
      <c r="AB3" s="334" t="s">
        <v>319</v>
      </c>
      <c r="AC3" s="343">
        <v>0.18</v>
      </c>
      <c r="AD3" s="343">
        <v>0.22</v>
      </c>
      <c r="AE3" s="344">
        <v>15</v>
      </c>
      <c r="AF3" s="323">
        <v>40</v>
      </c>
      <c r="AG3" s="323">
        <v>0.4</v>
      </c>
      <c r="AH3" s="341">
        <v>20</v>
      </c>
      <c r="AI3" s="342">
        <f>AI2+10000</f>
        <v>10000</v>
      </c>
      <c r="AJ3" s="42"/>
    </row>
    <row r="4" spans="1:36" s="43" customFormat="1" ht="19.5" customHeight="1">
      <c r="A4" s="39"/>
      <c r="B4" s="49"/>
      <c r="C4" s="674"/>
      <c r="D4" s="388" t="s">
        <v>80</v>
      </c>
      <c r="E4" s="687" t="s">
        <v>406</v>
      </c>
      <c r="F4" s="687"/>
      <c r="G4" s="668" t="s">
        <v>81</v>
      </c>
      <c r="H4" s="668"/>
      <c r="I4" s="475" t="s">
        <v>82</v>
      </c>
      <c r="J4" s="699"/>
      <c r="K4" s="321"/>
      <c r="L4" s="95"/>
      <c r="M4" s="383" t="s">
        <v>383</v>
      </c>
      <c r="N4" s="383" t="s">
        <v>314</v>
      </c>
      <c r="O4" s="383" t="s">
        <v>383</v>
      </c>
      <c r="P4" s="39"/>
      <c r="Q4" s="39"/>
      <c r="R4" s="335" t="s">
        <v>320</v>
      </c>
      <c r="S4" s="336">
        <f>Tariffs!$G$18</f>
        <v>3.127</v>
      </c>
      <c r="T4" s="336">
        <f>Tariffs!$G$19</f>
        <v>3.039</v>
      </c>
      <c r="U4" s="336">
        <f>Tariffs!$G$20</f>
        <v>3.283</v>
      </c>
      <c r="V4" s="336">
        <f>Tariffs!$G$21</f>
        <v>3.191</v>
      </c>
      <c r="W4" s="336">
        <f>Tariffs!$G$22</f>
        <v>3.44</v>
      </c>
      <c r="X4" s="336">
        <f>Tariffs!$G$23</f>
        <v>3.343</v>
      </c>
      <c r="Y4" s="41"/>
      <c r="Z4" s="42"/>
      <c r="AA4" s="42"/>
      <c r="AB4" s="334" t="s">
        <v>320</v>
      </c>
      <c r="AC4" s="343">
        <v>0.18</v>
      </c>
      <c r="AD4" s="343">
        <v>0.22</v>
      </c>
      <c r="AE4" s="344">
        <v>25</v>
      </c>
      <c r="AF4" s="323">
        <v>40</v>
      </c>
      <c r="AG4" s="323">
        <v>0.4</v>
      </c>
      <c r="AH4" s="341">
        <v>25</v>
      </c>
      <c r="AI4" s="342">
        <f aca="true" t="shared" si="0" ref="AI4:AI22">AI3+10000</f>
        <v>20000</v>
      </c>
      <c r="AJ4" s="42"/>
    </row>
    <row r="5" spans="1:36" s="43" customFormat="1" ht="19.5" customHeight="1">
      <c r="A5" s="39"/>
      <c r="B5" s="49"/>
      <c r="C5" s="674"/>
      <c r="D5" s="697"/>
      <c r="E5" s="697"/>
      <c r="F5" s="697"/>
      <c r="G5" s="697"/>
      <c r="H5" s="697"/>
      <c r="I5" s="697"/>
      <c r="J5" s="699"/>
      <c r="K5" s="321"/>
      <c r="L5" s="95"/>
      <c r="M5" s="389" t="s">
        <v>374</v>
      </c>
      <c r="N5" s="377" t="str">
        <f>CONCATENATE(AF11,"% Max Disc")</f>
        <v>40% Max Disc</v>
      </c>
      <c r="O5" s="377" t="str">
        <f>CONCATENATE(IF(S14=0,0,IF(N6=0,I15,MIN(I15,N6))),"% Max Disc")</f>
        <v>40% Max Disc</v>
      </c>
      <c r="P5" s="39"/>
      <c r="Q5" s="39"/>
      <c r="R5" s="335" t="s">
        <v>321</v>
      </c>
      <c r="S5" s="336">
        <f>Tariffs!$G$18</f>
        <v>3.127</v>
      </c>
      <c r="T5" s="336">
        <f>Tariffs!$G$19</f>
        <v>3.039</v>
      </c>
      <c r="U5" s="336">
        <f>Tariffs!$G$20</f>
        <v>3.283</v>
      </c>
      <c r="V5" s="336">
        <f>Tariffs!$G$21</f>
        <v>3.191</v>
      </c>
      <c r="W5" s="336">
        <f>Tariffs!$G$22</f>
        <v>3.44</v>
      </c>
      <c r="X5" s="336">
        <f>Tariffs!$G$23</f>
        <v>3.343</v>
      </c>
      <c r="Y5" s="41"/>
      <c r="Z5" s="42"/>
      <c r="AA5" s="42"/>
      <c r="AB5" s="334" t="s">
        <v>321</v>
      </c>
      <c r="AC5" s="343">
        <v>0.21</v>
      </c>
      <c r="AD5" s="343">
        <v>0.25</v>
      </c>
      <c r="AE5" s="344">
        <v>25</v>
      </c>
      <c r="AF5" s="323">
        <v>40</v>
      </c>
      <c r="AG5" s="323">
        <v>0.6</v>
      </c>
      <c r="AH5" s="341">
        <v>35</v>
      </c>
      <c r="AI5" s="342">
        <f t="shared" si="0"/>
        <v>30000</v>
      </c>
      <c r="AJ5" s="42"/>
    </row>
    <row r="6" spans="1:36" s="43" customFormat="1" ht="19.5" customHeight="1">
      <c r="A6" s="39"/>
      <c r="B6" s="49"/>
      <c r="C6" s="674"/>
      <c r="D6" s="373" t="s">
        <v>84</v>
      </c>
      <c r="E6" s="388" t="s">
        <v>85</v>
      </c>
      <c r="F6" s="388" t="s">
        <v>86</v>
      </c>
      <c r="G6" s="668" t="s">
        <v>87</v>
      </c>
      <c r="H6" s="668"/>
      <c r="I6" s="388" t="s">
        <v>11</v>
      </c>
      <c r="J6" s="699"/>
      <c r="K6" s="321"/>
      <c r="L6" s="95"/>
      <c r="M6" s="408" t="s">
        <v>428</v>
      </c>
      <c r="N6" s="409">
        <v>40</v>
      </c>
      <c r="O6" s="409">
        <v>27</v>
      </c>
      <c r="P6" s="39"/>
      <c r="Q6" s="39"/>
      <c r="R6" s="335" t="s">
        <v>322</v>
      </c>
      <c r="S6" s="337">
        <f>Tariffs!$G$18</f>
        <v>3.127</v>
      </c>
      <c r="T6" s="336">
        <f>Tariffs!$G$19</f>
        <v>3.039</v>
      </c>
      <c r="U6" s="336">
        <f>Tariffs!$G$20</f>
        <v>3.283</v>
      </c>
      <c r="V6" s="336">
        <f>Tariffs!$G$21</f>
        <v>3.191</v>
      </c>
      <c r="W6" s="336">
        <f>Tariffs!$G$22</f>
        <v>3.44</v>
      </c>
      <c r="X6" s="336">
        <f>Tariffs!$G$23</f>
        <v>3.343</v>
      </c>
      <c r="Y6" s="41"/>
      <c r="Z6" s="42"/>
      <c r="AA6" s="42"/>
      <c r="AB6" s="334" t="s">
        <v>322</v>
      </c>
      <c r="AC6" s="343">
        <v>0.21</v>
      </c>
      <c r="AD6" s="343">
        <v>0.25</v>
      </c>
      <c r="AE6" s="344">
        <v>35</v>
      </c>
      <c r="AF6" s="323">
        <v>40</v>
      </c>
      <c r="AG6" s="323">
        <v>0</v>
      </c>
      <c r="AH6" s="341">
        <v>45</v>
      </c>
      <c r="AI6" s="342">
        <f t="shared" si="0"/>
        <v>40000</v>
      </c>
      <c r="AJ6" s="42"/>
    </row>
    <row r="7" spans="1:36" s="43" customFormat="1" ht="19.5" customHeight="1">
      <c r="A7" s="39"/>
      <c r="B7" s="49"/>
      <c r="C7" s="674"/>
      <c r="D7" s="677" t="s">
        <v>407</v>
      </c>
      <c r="E7" s="677" t="s">
        <v>408</v>
      </c>
      <c r="F7" s="688" t="s">
        <v>319</v>
      </c>
      <c r="G7" s="689" t="s">
        <v>326</v>
      </c>
      <c r="H7" s="689"/>
      <c r="I7" s="676" t="s">
        <v>78</v>
      </c>
      <c r="J7" s="699"/>
      <c r="K7" s="321"/>
      <c r="L7" s="95"/>
      <c r="M7" s="95"/>
      <c r="N7" s="95"/>
      <c r="O7" s="95"/>
      <c r="P7" s="39"/>
      <c r="Q7" s="39"/>
      <c r="R7" s="335" t="s">
        <v>323</v>
      </c>
      <c r="S7" s="336">
        <f>Tariffs!$G$18</f>
        <v>3.127</v>
      </c>
      <c r="T7" s="336">
        <f>Tariffs!$G$19</f>
        <v>3.039</v>
      </c>
      <c r="U7" s="336">
        <f>Tariffs!$G$20</f>
        <v>3.283</v>
      </c>
      <c r="V7" s="336">
        <f>Tariffs!$G$21</f>
        <v>3.191</v>
      </c>
      <c r="W7" s="336">
        <f>Tariffs!$G$22</f>
        <v>3.44</v>
      </c>
      <c r="X7" s="336">
        <f>Tariffs!$G$23</f>
        <v>3.343</v>
      </c>
      <c r="Y7" s="41"/>
      <c r="Z7" s="42"/>
      <c r="AA7" s="42"/>
      <c r="AB7" s="334" t="s">
        <v>323</v>
      </c>
      <c r="AC7" s="343">
        <v>0.25</v>
      </c>
      <c r="AD7" s="343">
        <v>0.3</v>
      </c>
      <c r="AE7" s="344">
        <v>35</v>
      </c>
      <c r="AF7" s="323">
        <v>20</v>
      </c>
      <c r="AG7" s="323">
        <v>0</v>
      </c>
      <c r="AH7" s="341">
        <v>50</v>
      </c>
      <c r="AI7" s="342">
        <f t="shared" si="0"/>
        <v>50000</v>
      </c>
      <c r="AJ7" s="42"/>
    </row>
    <row r="8" spans="1:36" s="43" customFormat="1" ht="19.5" customHeight="1">
      <c r="A8" s="39"/>
      <c r="B8" s="49"/>
      <c r="C8" s="674"/>
      <c r="D8" s="677"/>
      <c r="E8" s="677"/>
      <c r="F8" s="688"/>
      <c r="G8" s="689"/>
      <c r="H8" s="689"/>
      <c r="I8" s="676"/>
      <c r="J8" s="699"/>
      <c r="K8" s="321"/>
      <c r="L8" s="95"/>
      <c r="M8" s="669" t="str">
        <f>CONCATENATE("Summarised Prem (Incl of GST @ ",Sign!F15,"%)")</f>
        <v>Summarised Prem (Incl of GST @ 18%)</v>
      </c>
      <c r="N8" s="669"/>
      <c r="O8" s="669"/>
      <c r="P8" s="39"/>
      <c r="Q8" s="39"/>
      <c r="R8" s="335" t="s">
        <v>324</v>
      </c>
      <c r="S8" s="336">
        <f>Tariffs!$G$18</f>
        <v>3.127</v>
      </c>
      <c r="T8" s="336">
        <f>Tariffs!$G$19</f>
        <v>3.039</v>
      </c>
      <c r="U8" s="336">
        <f>Tariffs!$G$20</f>
        <v>3.283</v>
      </c>
      <c r="V8" s="336">
        <f>Tariffs!$G$21</f>
        <v>3.191</v>
      </c>
      <c r="W8" s="336">
        <f>Tariffs!$G$22</f>
        <v>3.44</v>
      </c>
      <c r="X8" s="336">
        <f>Tariffs!$G$23</f>
        <v>3.343</v>
      </c>
      <c r="Y8" s="41"/>
      <c r="Z8" s="42"/>
      <c r="AA8" s="42"/>
      <c r="AB8" s="334" t="s">
        <v>324</v>
      </c>
      <c r="AC8" s="343">
        <v>0.3</v>
      </c>
      <c r="AD8" s="343">
        <v>0.37</v>
      </c>
      <c r="AE8" s="344">
        <v>35</v>
      </c>
      <c r="AF8" s="323">
        <v>20</v>
      </c>
      <c r="AG8" s="323">
        <v>0</v>
      </c>
      <c r="AH8" s="341">
        <v>65</v>
      </c>
      <c r="AI8" s="342">
        <f t="shared" si="0"/>
        <v>60000</v>
      </c>
      <c r="AJ8" s="42"/>
    </row>
    <row r="9" spans="1:36" s="43" customFormat="1" ht="19.5" customHeight="1">
      <c r="A9" s="39"/>
      <c r="B9" s="49"/>
      <c r="C9" s="674"/>
      <c r="D9" s="697"/>
      <c r="E9" s="697"/>
      <c r="F9" s="697"/>
      <c r="G9" s="697"/>
      <c r="H9" s="697"/>
      <c r="I9" s="697"/>
      <c r="J9" s="699"/>
      <c r="K9" s="321"/>
      <c r="L9" s="95"/>
      <c r="M9" s="374" t="s">
        <v>213</v>
      </c>
      <c r="N9" s="374" t="s">
        <v>212</v>
      </c>
      <c r="O9" s="374" t="s">
        <v>209</v>
      </c>
      <c r="P9" s="39"/>
      <c r="Q9" s="39"/>
      <c r="R9" s="335" t="s">
        <v>325</v>
      </c>
      <c r="S9" s="336">
        <f>Tariffs!$H$18</f>
        <v>3.283</v>
      </c>
      <c r="T9" s="336">
        <f>Tariffs!$H$19</f>
        <v>3.191</v>
      </c>
      <c r="U9" s="336">
        <f>Tariffs!$H$20</f>
        <v>3.447</v>
      </c>
      <c r="V9" s="336">
        <f>Tariffs!$H$21</f>
        <v>3.351</v>
      </c>
      <c r="W9" s="336">
        <f>Tariffs!$H$22</f>
        <v>3.612</v>
      </c>
      <c r="X9" s="336">
        <f>Tariffs!$H$23</f>
        <v>3.51</v>
      </c>
      <c r="Y9" s="41"/>
      <c r="Z9" s="42"/>
      <c r="AA9" s="42"/>
      <c r="AB9" s="334" t="s">
        <v>325</v>
      </c>
      <c r="AC9" s="343">
        <v>0.18</v>
      </c>
      <c r="AD9" s="343">
        <v>0.22</v>
      </c>
      <c r="AE9" s="344">
        <v>0</v>
      </c>
      <c r="AF9" s="323">
        <v>0</v>
      </c>
      <c r="AG9" s="323">
        <v>0</v>
      </c>
      <c r="AH9" s="42"/>
      <c r="AI9" s="342">
        <f t="shared" si="0"/>
        <v>70000</v>
      </c>
      <c r="AJ9" s="42"/>
    </row>
    <row r="10" spans="1:36" s="43" customFormat="1" ht="19.5" customHeight="1">
      <c r="A10" s="39"/>
      <c r="B10" s="49"/>
      <c r="C10" s="674"/>
      <c r="D10" s="373" t="str">
        <f>IF(F7&lt;5.01,"IDV of Vehicle","Sum Insured")</f>
        <v>Sum Insured</v>
      </c>
      <c r="E10" s="373" t="s">
        <v>90</v>
      </c>
      <c r="F10" s="373" t="s">
        <v>91</v>
      </c>
      <c r="G10" s="668" t="s">
        <v>332</v>
      </c>
      <c r="H10" s="668"/>
      <c r="I10" s="388" t="s">
        <v>333</v>
      </c>
      <c r="J10" s="699"/>
      <c r="K10" s="321"/>
      <c r="L10" s="95"/>
      <c r="M10" s="375">
        <f>IF(U63=0,"Not Avb",U63)</f>
        <v>25667</v>
      </c>
      <c r="N10" s="375">
        <f>IF(AC63=0,"Not Avb",AC63)</f>
        <v>3815</v>
      </c>
      <c r="O10" s="384">
        <f>IF(AB63=0,"Not Avb",AB63)</f>
        <v>18355</v>
      </c>
      <c r="P10" s="39"/>
      <c r="Q10" s="39"/>
      <c r="R10" s="335" t="s">
        <v>318</v>
      </c>
      <c r="S10" s="336">
        <f>Tariffs!$I$18</f>
        <v>3.362</v>
      </c>
      <c r="T10" s="336">
        <f>Tariffs!$I$19</f>
        <v>3.267</v>
      </c>
      <c r="U10" s="336">
        <f>Tariffs!$I$20</f>
        <v>3.529</v>
      </c>
      <c r="V10" s="336">
        <f>Tariffs!$I$21</f>
        <v>3.43</v>
      </c>
      <c r="W10" s="336">
        <f>Tariffs!$I$22</f>
        <v>3.698</v>
      </c>
      <c r="X10" s="336">
        <f>Tariffs!$I$23</f>
        <v>3.594</v>
      </c>
      <c r="Y10" s="41"/>
      <c r="Z10" s="42"/>
      <c r="AA10" s="42"/>
      <c r="AB10" s="334" t="s">
        <v>318</v>
      </c>
      <c r="AC10" s="343">
        <v>0</v>
      </c>
      <c r="AD10" s="343">
        <v>0</v>
      </c>
      <c r="AE10" s="344">
        <v>0</v>
      </c>
      <c r="AF10" s="323">
        <v>0</v>
      </c>
      <c r="AG10" s="323">
        <v>0</v>
      </c>
      <c r="AH10" s="42"/>
      <c r="AI10" s="342">
        <f t="shared" si="0"/>
        <v>80000</v>
      </c>
      <c r="AJ10" s="42"/>
    </row>
    <row r="11" spans="1:36" s="43" customFormat="1" ht="19.5" customHeight="1">
      <c r="A11" s="39"/>
      <c r="B11" s="49"/>
      <c r="C11" s="674"/>
      <c r="D11" s="670">
        <v>909909</v>
      </c>
      <c r="E11" s="670">
        <v>0</v>
      </c>
      <c r="F11" s="670">
        <v>0</v>
      </c>
      <c r="G11" s="676" t="s">
        <v>429</v>
      </c>
      <c r="H11" s="676"/>
      <c r="I11" s="667">
        <v>0</v>
      </c>
      <c r="J11" s="699"/>
      <c r="K11" s="321"/>
      <c r="L11" s="95"/>
      <c r="M11" s="374" t="s">
        <v>210</v>
      </c>
      <c r="N11" s="374" t="s">
        <v>329</v>
      </c>
      <c r="O11" s="374" t="s">
        <v>211</v>
      </c>
      <c r="P11" s="39"/>
      <c r="Q11" s="39"/>
      <c r="R11" s="338"/>
      <c r="S11" s="339">
        <f>IF($F$7="",S2,VLOOKUP($F$7,$R$2:$X$10,2,0))</f>
        <v>3.127</v>
      </c>
      <c r="T11" s="339">
        <f>IF($F$7="",T2,VLOOKUP($F$7,$R$2:$X$10,3,0))</f>
        <v>3.039</v>
      </c>
      <c r="U11" s="339">
        <f>IF($F$7="",U2,VLOOKUP($F$7,$R$2:$X$10,4,0))</f>
        <v>3.283</v>
      </c>
      <c r="V11" s="339">
        <f>IF($F$7="",V2,VLOOKUP($F$7,$R$2:$X$10,5,0))</f>
        <v>3.191</v>
      </c>
      <c r="W11" s="339">
        <f>IF($F$7="",W2,VLOOKUP($F$7,$R$2:$X$10,6,0))</f>
        <v>3.44</v>
      </c>
      <c r="X11" s="339">
        <f>IF($F$7="",X2,VLOOKUP($F$7,$R$2:$X$10,7,0))</f>
        <v>3.343</v>
      </c>
      <c r="Y11" s="41"/>
      <c r="Z11" s="42"/>
      <c r="AA11" s="42"/>
      <c r="AB11" s="42"/>
      <c r="AC11" s="328">
        <f>IF(F7="",AC2,(VLOOKUP(F7,AB2:AC10,2,0)))</f>
        <v>0.18</v>
      </c>
      <c r="AD11" s="328">
        <f>IF(F7="",AD2,(VLOOKUP(F7,AB2:AD10,3,0)))</f>
        <v>0.22</v>
      </c>
      <c r="AE11" s="42"/>
      <c r="AF11" s="345">
        <f>IF(F7="",AF2,MIN(VLOOKUP(F7,AB2:AF10,5,0),I15))</f>
        <v>40</v>
      </c>
      <c r="AG11" s="42"/>
      <c r="AH11" s="42"/>
      <c r="AI11" s="342">
        <f t="shared" si="0"/>
        <v>90000</v>
      </c>
      <c r="AJ11" s="42"/>
    </row>
    <row r="12" spans="1:36" s="43" customFormat="1" ht="19.5" customHeight="1">
      <c r="A12" s="39"/>
      <c r="B12" s="49"/>
      <c r="C12" s="674"/>
      <c r="D12" s="670"/>
      <c r="E12" s="670"/>
      <c r="F12" s="670"/>
      <c r="G12" s="676"/>
      <c r="H12" s="676"/>
      <c r="I12" s="667"/>
      <c r="J12" s="699"/>
      <c r="K12" s="321"/>
      <c r="L12" s="95"/>
      <c r="M12" s="375">
        <f>IF(Z63=0,"Not Avb",Z63)</f>
        <v>20734</v>
      </c>
      <c r="N12" s="375">
        <f>IF(AG44=0,"Not Avb",AG44)</f>
        <v>19861</v>
      </c>
      <c r="O12" s="375">
        <f>IF(AA63=0,"Not Avb",AA63)</f>
        <v>21780</v>
      </c>
      <c r="P12" s="39"/>
      <c r="Q12" s="39"/>
      <c r="R12" s="340">
        <f>IF(G7="",S12,IF(G7=AB12,S12,IF(G7=AB13,U12,W12)))</f>
        <v>3.283</v>
      </c>
      <c r="S12" s="339">
        <f>IF($I$7="Zone:  B",T11,S11)</f>
        <v>3.127</v>
      </c>
      <c r="T12" s="339"/>
      <c r="U12" s="339">
        <f>IF($I$7="Zone:  B",V11,U11)</f>
        <v>3.283</v>
      </c>
      <c r="V12" s="339"/>
      <c r="W12" s="339">
        <f>IF($I$7="Zone:  B",X11,W11)</f>
        <v>3.44</v>
      </c>
      <c r="X12" s="339"/>
      <c r="Y12" s="41"/>
      <c r="Z12" s="42"/>
      <c r="AA12" s="42"/>
      <c r="AB12" s="322" t="s">
        <v>126</v>
      </c>
      <c r="AC12" s="42">
        <v>-10</v>
      </c>
      <c r="AD12" s="42">
        <v>1000</v>
      </c>
      <c r="AE12" s="330" t="s">
        <v>335</v>
      </c>
      <c r="AF12" s="331"/>
      <c r="AG12" s="331"/>
      <c r="AH12" s="331"/>
      <c r="AI12" s="342">
        <f t="shared" si="0"/>
        <v>100000</v>
      </c>
      <c r="AJ12" s="42"/>
    </row>
    <row r="13" spans="1:36" s="43" customFormat="1" ht="19.5" customHeight="1">
      <c r="A13" s="39"/>
      <c r="B13" s="49"/>
      <c r="C13" s="674"/>
      <c r="D13" s="697"/>
      <c r="E13" s="697"/>
      <c r="F13" s="697"/>
      <c r="G13" s="697"/>
      <c r="H13" s="697"/>
      <c r="I13" s="697"/>
      <c r="J13" s="699"/>
      <c r="K13" s="321"/>
      <c r="L13" s="95"/>
      <c r="M13" s="374" t="s">
        <v>330</v>
      </c>
      <c r="N13" s="374" t="s">
        <v>331</v>
      </c>
      <c r="O13" s="374" t="s">
        <v>340</v>
      </c>
      <c r="P13" s="39"/>
      <c r="Q13" s="39"/>
      <c r="R13" s="63" t="s">
        <v>96</v>
      </c>
      <c r="S13" s="63" t="s">
        <v>97</v>
      </c>
      <c r="T13" s="64" t="s">
        <v>375</v>
      </c>
      <c r="U13" s="39"/>
      <c r="V13" s="39"/>
      <c r="W13" s="39"/>
      <c r="X13" s="39"/>
      <c r="Y13" s="41"/>
      <c r="Z13" s="42"/>
      <c r="AA13" s="42"/>
      <c r="AB13" s="322" t="s">
        <v>326</v>
      </c>
      <c r="AC13" s="42">
        <v>-10</v>
      </c>
      <c r="AD13" s="42">
        <v>1500</v>
      </c>
      <c r="AE13" s="324" t="s">
        <v>70</v>
      </c>
      <c r="AF13" s="324">
        <f>IF(G7=AB12,-10,IF(G7=AB13,-10,IF(G7="",-10,0)))</f>
        <v>-10</v>
      </c>
      <c r="AG13" s="324" t="s">
        <v>70</v>
      </c>
      <c r="AH13" s="324">
        <f>IF(G7=AB15,10,0)</f>
        <v>0</v>
      </c>
      <c r="AI13" s="342">
        <f t="shared" si="0"/>
        <v>110000</v>
      </c>
      <c r="AJ13" s="42"/>
    </row>
    <row r="14" spans="1:36" s="43" customFormat="1" ht="19.5" customHeight="1">
      <c r="A14" s="39"/>
      <c r="B14" s="49"/>
      <c r="C14" s="674"/>
      <c r="D14" s="388" t="s">
        <v>100</v>
      </c>
      <c r="E14" s="388" t="s">
        <v>118</v>
      </c>
      <c r="F14" s="388" t="s">
        <v>119</v>
      </c>
      <c r="G14" s="668" t="s">
        <v>103</v>
      </c>
      <c r="H14" s="668"/>
      <c r="I14" s="373" t="s">
        <v>104</v>
      </c>
      <c r="J14" s="699"/>
      <c r="K14" s="321"/>
      <c r="L14" s="95"/>
      <c r="M14" s="375">
        <f>IF(AE44=0,"Not Avb",AE44)</f>
        <v>22240</v>
      </c>
      <c r="N14" s="375">
        <f>IF(Y63=0,"Not Avb",Y63)</f>
        <v>24161</v>
      </c>
      <c r="O14" s="375">
        <f>IF(AF44=0,"Not Avb",AF44)</f>
        <v>23286</v>
      </c>
      <c r="P14" s="39"/>
      <c r="Q14" s="39"/>
      <c r="R14" s="65">
        <f>IF(F7="",15,VLOOKUP(F7,AB2:AE10,4,0))</f>
        <v>15</v>
      </c>
      <c r="S14" s="65">
        <f>IF(F7="",0.3,VLOOKUP(F7,AB2:AG10,6,0))</f>
        <v>0.4</v>
      </c>
      <c r="T14" s="332">
        <f>IF(Sign!$E$11="2018-19",Tariffs!$J$18,Tariffs!$W$18)</f>
        <v>1850</v>
      </c>
      <c r="U14" s="39"/>
      <c r="V14" s="39"/>
      <c r="W14" s="39"/>
      <c r="X14" s="39"/>
      <c r="Y14" s="41"/>
      <c r="Z14" s="42"/>
      <c r="AA14" s="42"/>
      <c r="AB14" s="322" t="s">
        <v>327</v>
      </c>
      <c r="AC14" s="42">
        <v>0</v>
      </c>
      <c r="AD14" s="42">
        <v>2500</v>
      </c>
      <c r="AE14" s="324" t="s">
        <v>336</v>
      </c>
      <c r="AF14" s="324">
        <f>IF(D11&lt;1000001,-10,0)</f>
        <v>-10</v>
      </c>
      <c r="AG14" s="324" t="s">
        <v>396</v>
      </c>
      <c r="AH14" s="324">
        <f>IF(D11&gt;1999999,10,0)</f>
        <v>0</v>
      </c>
      <c r="AI14" s="342">
        <f>AI13+10000</f>
        <v>120000</v>
      </c>
      <c r="AJ14" s="42"/>
    </row>
    <row r="15" spans="1:36" s="43" customFormat="1" ht="19.5" customHeight="1">
      <c r="A15" s="39"/>
      <c r="B15" s="49"/>
      <c r="C15" s="674"/>
      <c r="D15" s="672" t="s">
        <v>105</v>
      </c>
      <c r="E15" s="680">
        <v>4</v>
      </c>
      <c r="F15" s="667">
        <v>0</v>
      </c>
      <c r="G15" s="690">
        <v>25</v>
      </c>
      <c r="H15" s="690"/>
      <c r="I15" s="671">
        <v>45</v>
      </c>
      <c r="J15" s="699"/>
      <c r="K15" s="321"/>
      <c r="L15" s="95"/>
      <c r="M15" s="695" t="s">
        <v>399</v>
      </c>
      <c r="N15" s="695"/>
      <c r="O15" s="376">
        <f>IF(AD44=0,"Not Avb",AD44)</f>
        <v>25667</v>
      </c>
      <c r="P15" s="39"/>
      <c r="Q15" s="39"/>
      <c r="R15" s="68" t="str">
        <f>IF(R14=0,"Not Avb","W/o Ren Disc")</f>
        <v>W/o Ren Disc</v>
      </c>
      <c r="S15" s="68" t="str">
        <f>IF(S14=0,"Not Avb","Yes-Required")</f>
        <v>Yes-Required</v>
      </c>
      <c r="T15" s="332">
        <f>IF(Sign!$E$11="2018-19",Tariffs!$J$20,Tariffs!$W$20)</f>
        <v>2863</v>
      </c>
      <c r="U15" s="39"/>
      <c r="V15" s="39"/>
      <c r="W15" s="39"/>
      <c r="X15" s="39"/>
      <c r="Y15" s="41"/>
      <c r="Z15" s="42"/>
      <c r="AA15" s="42"/>
      <c r="AB15" s="322" t="s">
        <v>328</v>
      </c>
      <c r="AC15" s="42">
        <v>10</v>
      </c>
      <c r="AD15" s="42">
        <v>99999</v>
      </c>
      <c r="AE15" s="324"/>
      <c r="AF15" s="324"/>
      <c r="AG15" s="324" t="s">
        <v>338</v>
      </c>
      <c r="AH15" s="324">
        <f>IF(M6="Imported",10,0)</f>
        <v>0</v>
      </c>
      <c r="AI15" s="342">
        <f t="shared" si="0"/>
        <v>130000</v>
      </c>
      <c r="AJ15" s="42"/>
    </row>
    <row r="16" spans="1:36" s="43" customFormat="1" ht="19.5" customHeight="1">
      <c r="A16" s="39"/>
      <c r="B16" s="49"/>
      <c r="C16" s="674"/>
      <c r="D16" s="672"/>
      <c r="E16" s="680"/>
      <c r="F16" s="667"/>
      <c r="G16" s="690"/>
      <c r="H16" s="690"/>
      <c r="I16" s="671"/>
      <c r="J16" s="699"/>
      <c r="K16" s="321"/>
      <c r="L16" s="95"/>
      <c r="M16" s="95"/>
      <c r="N16" s="95"/>
      <c r="O16" s="95"/>
      <c r="P16" s="39"/>
      <c r="Q16" s="39"/>
      <c r="R16" s="68" t="str">
        <f>IF(R14=0,"Not Avb","With Ren Disc")</f>
        <v>With Ren Disc</v>
      </c>
      <c r="S16" s="68" t="str">
        <f>IF(S14=0,"Not Avb","No-Not Required")</f>
        <v>No-Not Required</v>
      </c>
      <c r="T16" s="332">
        <f>IF(Sign!$E$11="2018-19",Tariffs!$J$22,Tariffs!$W$22)</f>
        <v>7890</v>
      </c>
      <c r="U16" s="39"/>
      <c r="V16" s="39"/>
      <c r="W16" s="39"/>
      <c r="X16" s="39"/>
      <c r="Y16" s="41"/>
      <c r="Z16" s="42"/>
      <c r="AA16" s="42"/>
      <c r="AB16" s="369" t="s">
        <v>209</v>
      </c>
      <c r="AC16" s="368">
        <f>ROUND(I53*15%,0)</f>
        <v>2778</v>
      </c>
      <c r="AD16" s="42"/>
      <c r="AE16" s="141" t="s">
        <v>337</v>
      </c>
      <c r="AF16" s="141">
        <f>MAX(SUM(AF13:AF14),-15)</f>
        <v>-15</v>
      </c>
      <c r="AG16" s="141"/>
      <c r="AH16" s="141">
        <f>MIN(SUM(AH13:AH15),15)</f>
        <v>0</v>
      </c>
      <c r="AI16" s="342">
        <f t="shared" si="0"/>
        <v>140000</v>
      </c>
      <c r="AJ16" s="42"/>
    </row>
    <row r="17" spans="1:36" s="43" customFormat="1" ht="19.5" customHeight="1">
      <c r="A17" s="39"/>
      <c r="B17" s="49"/>
      <c r="C17" s="674"/>
      <c r="D17" s="697"/>
      <c r="E17" s="697"/>
      <c r="F17" s="697"/>
      <c r="G17" s="697"/>
      <c r="H17" s="697"/>
      <c r="I17" s="697"/>
      <c r="J17" s="699"/>
      <c r="K17" s="321"/>
      <c r="L17" s="95"/>
      <c r="M17" s="669" t="s">
        <v>398</v>
      </c>
      <c r="N17" s="669"/>
      <c r="O17" s="669"/>
      <c r="P17" s="39"/>
      <c r="Q17" s="39"/>
      <c r="R17" s="68" t="str">
        <f>IF(R14=0,"Not Avb","No-Not Required")</f>
        <v>No-Not Required</v>
      </c>
      <c r="S17" s="73"/>
      <c r="T17" s="333">
        <f>IF(G7="",T14,IF($G$7=AB12,$T$14,IF($G$7=AB13,$T$15,$T$16)))</f>
        <v>2863</v>
      </c>
      <c r="U17" s="39"/>
      <c r="V17" s="39"/>
      <c r="W17" s="39"/>
      <c r="X17" s="39"/>
      <c r="Y17" s="41"/>
      <c r="Z17" s="42"/>
      <c r="AA17" s="42"/>
      <c r="AB17" s="369" t="s">
        <v>391</v>
      </c>
      <c r="AC17" s="368">
        <f>ROUND(I60*2.5%,0)</f>
        <v>81</v>
      </c>
      <c r="AD17" s="77"/>
      <c r="AE17" s="77"/>
      <c r="AF17" s="77"/>
      <c r="AG17" s="77"/>
      <c r="AH17" s="77"/>
      <c r="AI17" s="342">
        <f t="shared" si="0"/>
        <v>150000</v>
      </c>
      <c r="AJ17" s="42"/>
    </row>
    <row r="18" spans="1:36" s="43" customFormat="1" ht="19.5" customHeight="1">
      <c r="A18" s="39"/>
      <c r="B18" s="49"/>
      <c r="C18" s="674"/>
      <c r="D18" s="388" t="s">
        <v>334</v>
      </c>
      <c r="E18" s="406" t="s">
        <v>95</v>
      </c>
      <c r="F18" s="388" t="s">
        <v>144</v>
      </c>
      <c r="G18" s="681" t="s">
        <v>430</v>
      </c>
      <c r="H18" s="681"/>
      <c r="I18" s="407" t="s">
        <v>431</v>
      </c>
      <c r="J18" s="699"/>
      <c r="K18" s="321"/>
      <c r="L18" s="95"/>
      <c r="M18" s="385" t="s">
        <v>373</v>
      </c>
      <c r="N18" s="410" t="s">
        <v>252</v>
      </c>
      <c r="O18" s="694" t="str">
        <f>IF(AB70=0,"",Z71&amp;"%")</f>
        <v>40%</v>
      </c>
      <c r="P18" s="39"/>
      <c r="Q18" s="39"/>
      <c r="R18" s="68">
        <f>IF(N6&gt;I15,I15,N6)</f>
        <v>40</v>
      </c>
      <c r="S18" s="39"/>
      <c r="T18" s="39"/>
      <c r="U18" s="39"/>
      <c r="V18" s="39"/>
      <c r="W18" s="39"/>
      <c r="X18" s="74"/>
      <c r="Y18" s="41"/>
      <c r="Z18" s="42"/>
      <c r="AA18" s="42"/>
      <c r="AB18" s="369" t="s">
        <v>427</v>
      </c>
      <c r="AC18" s="368">
        <f>IF(F7="",AC16,IF(F7=AB2,AC16,IF(F7=AB3,AC16,IF(F7=AB4,AC16,IF(F7=AB5,AC16,IF(F7=AB6,AC16,(AC16+AC17)))))))</f>
        <v>2778</v>
      </c>
      <c r="AD18" s="42"/>
      <c r="AE18" s="42"/>
      <c r="AF18" s="42"/>
      <c r="AG18" s="42"/>
      <c r="AH18" s="42"/>
      <c r="AI18" s="342">
        <f t="shared" si="0"/>
        <v>160000</v>
      </c>
      <c r="AJ18" s="42"/>
    </row>
    <row r="19" spans="1:36" s="43" customFormat="1" ht="19.5" customHeight="1">
      <c r="A19" s="39"/>
      <c r="B19" s="49"/>
      <c r="C19" s="675"/>
      <c r="D19" s="53"/>
      <c r="E19" s="53"/>
      <c r="F19" s="53"/>
      <c r="G19" s="53"/>
      <c r="H19" s="53"/>
      <c r="I19" s="53"/>
      <c r="J19" s="700"/>
      <c r="K19" s="321"/>
      <c r="L19" s="95"/>
      <c r="M19" s="386" t="s">
        <v>397</v>
      </c>
      <c r="N19" s="411" t="s">
        <v>307</v>
      </c>
      <c r="O19" s="694"/>
      <c r="P19" s="39"/>
      <c r="Q19" s="39"/>
      <c r="R19" s="39"/>
      <c r="S19" s="39"/>
      <c r="T19" s="39"/>
      <c r="U19" s="39"/>
      <c r="V19" s="39"/>
      <c r="W19" s="39"/>
      <c r="X19" s="74"/>
      <c r="Y19" s="41"/>
      <c r="Z19" s="77"/>
      <c r="AA19" s="77"/>
      <c r="AB19" s="77"/>
      <c r="AC19" s="77"/>
      <c r="AD19" s="42"/>
      <c r="AE19" s="42"/>
      <c r="AF19" s="42"/>
      <c r="AG19" s="42"/>
      <c r="AH19" s="42"/>
      <c r="AI19" s="342">
        <f t="shared" si="0"/>
        <v>170000</v>
      </c>
      <c r="AJ19" s="42"/>
    </row>
    <row r="20" spans="1:36" s="43" customFormat="1" ht="19.5" customHeight="1">
      <c r="A20" s="39"/>
      <c r="B20" s="691" t="s">
        <v>339</v>
      </c>
      <c r="C20" s="692"/>
      <c r="D20" s="692"/>
      <c r="E20" s="692"/>
      <c r="F20" s="692"/>
      <c r="G20" s="692"/>
      <c r="H20" s="692"/>
      <c r="I20" s="692"/>
      <c r="J20" s="692"/>
      <c r="K20" s="327"/>
      <c r="L20" s="95"/>
      <c r="M20" s="387" t="s">
        <v>86</v>
      </c>
      <c r="N20" s="412" t="s">
        <v>253</v>
      </c>
      <c r="O20" s="694"/>
      <c r="P20" s="39"/>
      <c r="Q20" s="39"/>
      <c r="R20" s="95">
        <f>(IF($N$6=0,MIN($O$6,$I$15),MIN($N$6,$O$6,$I$15)))</f>
        <v>27</v>
      </c>
      <c r="S20" s="39"/>
      <c r="T20" s="39"/>
      <c r="U20" s="39"/>
      <c r="V20" s="39"/>
      <c r="W20" s="39"/>
      <c r="X20" s="74"/>
      <c r="Y20" s="41"/>
      <c r="Z20" s="77"/>
      <c r="AA20" s="77"/>
      <c r="AB20" s="77"/>
      <c r="AC20" s="77"/>
      <c r="AD20" s="42"/>
      <c r="AE20" s="42"/>
      <c r="AF20" s="42"/>
      <c r="AG20" s="42"/>
      <c r="AH20" s="42"/>
      <c r="AI20" s="342">
        <f t="shared" si="0"/>
        <v>180000</v>
      </c>
      <c r="AJ20" s="42"/>
    </row>
    <row r="21" spans="1:36" s="78" customFormat="1" ht="9" customHeight="1">
      <c r="A21" s="75"/>
      <c r="B21" s="75"/>
      <c r="C21" s="75"/>
      <c r="D21" s="75"/>
      <c r="E21" s="75"/>
      <c r="F21" s="75"/>
      <c r="G21" s="75"/>
      <c r="H21" s="75"/>
      <c r="I21" s="75"/>
      <c r="J21" s="75"/>
      <c r="K21" s="75"/>
      <c r="L21" s="39"/>
      <c r="M21" s="39"/>
      <c r="N21" s="39"/>
      <c r="O21" s="39"/>
      <c r="P21" s="39"/>
      <c r="Q21" s="39"/>
      <c r="R21" s="39"/>
      <c r="S21" s="39"/>
      <c r="T21" s="39"/>
      <c r="U21" s="74"/>
      <c r="V21" s="39"/>
      <c r="W21" s="39"/>
      <c r="X21" s="74"/>
      <c r="Y21" s="41"/>
      <c r="Z21" s="77"/>
      <c r="AA21" s="77"/>
      <c r="AB21" s="77"/>
      <c r="AC21" s="77"/>
      <c r="AD21" s="42"/>
      <c r="AE21" s="42"/>
      <c r="AF21" s="42"/>
      <c r="AG21" s="42"/>
      <c r="AH21" s="42"/>
      <c r="AI21" s="342">
        <f t="shared" si="0"/>
        <v>190000</v>
      </c>
      <c r="AJ21" s="42"/>
    </row>
    <row r="22" spans="1:36" s="78" customFormat="1" ht="20.25" customHeight="1">
      <c r="A22" s="75"/>
      <c r="B22" s="75"/>
      <c r="C22" s="75"/>
      <c r="D22" s="75"/>
      <c r="E22" s="75"/>
      <c r="F22" s="75"/>
      <c r="G22" s="75"/>
      <c r="H22" s="75"/>
      <c r="I22" s="75"/>
      <c r="J22" s="75"/>
      <c r="K22" s="75"/>
      <c r="L22" s="39"/>
      <c r="M22" s="39"/>
      <c r="N22" s="39"/>
      <c r="O22" s="39"/>
      <c r="P22" s="39"/>
      <c r="Q22" s="39"/>
      <c r="R22" s="39"/>
      <c r="S22" s="39"/>
      <c r="T22" s="95"/>
      <c r="U22" s="74"/>
      <c r="V22" s="80" t="str">
        <f>CONCATENATE(IF(E4="","Dear Sir/Madam,",E4),CHAR(10),CHAR(10),"Thank you for contacting us for obtaining Premium Details of our Co's Private Car Insurance Policy and we wish to furnish the details of the same, for your kind reference:")</f>
        <v>Mr. Lingachari Gogulamudi
Thank you for contacting us for obtaining Premium Details of our Co's Private Car Insurance Policy and we wish to furnish the details of the same, for your kind reference:</v>
      </c>
      <c r="W22" s="39"/>
      <c r="X22" s="74"/>
      <c r="Y22" s="41"/>
      <c r="Z22" s="77"/>
      <c r="AA22" s="77"/>
      <c r="AB22" s="77"/>
      <c r="AC22" s="77"/>
      <c r="AD22" s="42"/>
      <c r="AE22" s="42"/>
      <c r="AF22" s="42"/>
      <c r="AG22" s="42"/>
      <c r="AH22" s="42"/>
      <c r="AI22" s="342">
        <f t="shared" si="0"/>
        <v>200000</v>
      </c>
      <c r="AJ22" s="42"/>
    </row>
    <row r="23" spans="1:36" s="43" customFormat="1" ht="27" customHeight="1">
      <c r="A23" s="79"/>
      <c r="B23" s="614">
        <f ca="1">TODAY()</f>
        <v>43469</v>
      </c>
      <c r="C23" s="614"/>
      <c r="D23" s="614"/>
      <c r="E23" s="614"/>
      <c r="F23" s="614"/>
      <c r="G23" s="614"/>
      <c r="H23" s="614"/>
      <c r="I23" s="614"/>
      <c r="J23" s="614"/>
      <c r="K23" s="614"/>
      <c r="L23" s="39"/>
      <c r="M23" s="39"/>
      <c r="N23" s="39"/>
      <c r="O23" s="39"/>
      <c r="P23" s="39"/>
      <c r="Q23" s="39"/>
      <c r="R23" s="39"/>
      <c r="S23" s="39"/>
      <c r="T23" s="95"/>
      <c r="U23" s="39"/>
      <c r="V23" s="81" t="str">
        <f>CONCATENATE(V25,V26,V27,V28,V29,V30,V31,V32,V33,V34,V35,V36)</f>
        <v>     #  Name of the Registered Owner:  Mr. Lingachari Gogulamudi
     #  Vehicle's Registration Number:  AP 09CR 4190
     #  Make and Model of the Vehicle:  Ford Classic
     #  Coverage to be offered: Package Policy, NDP, EPC, RTI
     #  Sum Insured of Vehicle:  Rs.909909/- 
     #  Cubic Capacity of the Vehicle:  1001 - 1500 CC CC
     #  Age of Vehicle (As per RC):  6 Mths - 1 Yr Year(s)
     #  Owner-Driver-PA Cover:  Opted</v>
      </c>
      <c r="W23" s="39"/>
      <c r="X23" s="39"/>
      <c r="Y23" s="41"/>
      <c r="Z23" s="77"/>
      <c r="AA23" s="77"/>
      <c r="AB23" s="39"/>
      <c r="AC23" s="42"/>
      <c r="AD23" s="42"/>
      <c r="AE23" s="42"/>
      <c r="AF23" s="42"/>
      <c r="AG23" s="42"/>
      <c r="AH23" s="42"/>
      <c r="AI23" s="42"/>
      <c r="AJ23" s="42"/>
    </row>
    <row r="24" spans="1:36" s="43" customFormat="1" ht="27" customHeight="1">
      <c r="A24" s="79"/>
      <c r="B24" s="617" t="s">
        <v>9</v>
      </c>
      <c r="C24" s="617"/>
      <c r="D24" s="617"/>
      <c r="E24" s="617"/>
      <c r="F24" s="617"/>
      <c r="G24" s="617"/>
      <c r="H24" s="617"/>
      <c r="I24" s="617"/>
      <c r="J24" s="617"/>
      <c r="K24" s="617"/>
      <c r="L24" s="39"/>
      <c r="M24" s="39"/>
      <c r="N24" s="39"/>
      <c r="O24" s="39"/>
      <c r="P24" s="39"/>
      <c r="Q24" s="39"/>
      <c r="R24" s="39"/>
      <c r="S24" s="39"/>
      <c r="T24" s="95"/>
      <c r="U24" s="39"/>
      <c r="V24" s="80" t="str">
        <f>CONCATENATE(CHAR(10),CHAR(10),"Premium is to paid for An Amount of Rs.",I63,"/- Inclusive of GST @ ",Sign!F15,"% towards ",IF(G15="","Issuance of ",IF(G15=0,"Issuance of ","Renewal of ")),I4," for the above Risk.",CHAR(10),CHAR(10),"Request you to arrange the above quoted premium along with the required vehicle documents, to enable us to issue the policy at the earliest.")</f>
        <v>
Premium is to paid for An Amount of Rs.25667/- Inclusive of GST @ 18% towards Renewal of Package Policy for the above Risk.
Request you to arrange the above quoted premium along with the required vehicle documents, to enable us to issue the policy at the earliest.</v>
      </c>
      <c r="W24" s="39"/>
      <c r="X24" s="39"/>
      <c r="Y24" s="39"/>
      <c r="Z24" s="39"/>
      <c r="AA24" s="39"/>
      <c r="AB24" s="39"/>
      <c r="AC24" s="42"/>
      <c r="AD24" s="42"/>
      <c r="AE24" s="42"/>
      <c r="AF24" s="42"/>
      <c r="AG24" s="42"/>
      <c r="AH24" s="42"/>
      <c r="AI24" s="42"/>
      <c r="AJ24" s="42"/>
    </row>
    <row r="25" spans="1:36" s="43" customFormat="1" ht="27" customHeight="1">
      <c r="A25" s="79"/>
      <c r="B25" s="604" t="str">
        <f>Sign!F4</f>
        <v>DO-VI, Begumpet, Hyderabad - 500 016</v>
      </c>
      <c r="C25" s="604"/>
      <c r="D25" s="604"/>
      <c r="E25" s="604"/>
      <c r="F25" s="604"/>
      <c r="G25" s="604"/>
      <c r="H25" s="604"/>
      <c r="I25" s="604"/>
      <c r="J25" s="604"/>
      <c r="K25" s="604"/>
      <c r="L25" s="39"/>
      <c r="M25" s="39"/>
      <c r="N25" s="39"/>
      <c r="O25" s="39"/>
      <c r="P25" s="39"/>
      <c r="Q25" s="39"/>
      <c r="R25" s="39"/>
      <c r="S25" s="39"/>
      <c r="T25" s="39"/>
      <c r="U25" s="39"/>
      <c r="V25" s="86" t="str">
        <f>CONCATENATE("     #  ",D28,":  ",H28,CHAR(10))</f>
        <v>     #  Name of the Registered Owner:  Mr. Lingachari Gogulamudi
</v>
      </c>
      <c r="W25" s="39"/>
      <c r="X25" s="39"/>
      <c r="Y25" s="39"/>
      <c r="Z25" s="39"/>
      <c r="AA25" s="39"/>
      <c r="AB25" s="39"/>
      <c r="AC25" s="42"/>
      <c r="AD25" s="42"/>
      <c r="AE25" s="42"/>
      <c r="AF25" s="42"/>
      <c r="AG25" s="42"/>
      <c r="AH25" s="42"/>
      <c r="AI25" s="42"/>
      <c r="AJ25" s="42"/>
    </row>
    <row r="26" spans="1:36" s="43" customFormat="1" ht="20.25" customHeight="1">
      <c r="A26" s="79"/>
      <c r="B26" s="82"/>
      <c r="C26" s="678" t="str">
        <f>CONCATENATE("Premium Quotation for Private Car (Pvt / Own Use) - ",I4)</f>
        <v>Premium Quotation for Private Car (Pvt / Own Use) - Package Policy</v>
      </c>
      <c r="D26" s="678"/>
      <c r="E26" s="678"/>
      <c r="F26" s="678"/>
      <c r="G26" s="678"/>
      <c r="H26" s="678"/>
      <c r="I26" s="678"/>
      <c r="J26" s="678"/>
      <c r="K26" s="679"/>
      <c r="L26" s="39"/>
      <c r="M26" s="669" t="s">
        <v>392</v>
      </c>
      <c r="N26" s="669"/>
      <c r="O26" s="669"/>
      <c r="P26" s="39"/>
      <c r="Q26" s="39"/>
      <c r="R26" s="39"/>
      <c r="S26" s="39"/>
      <c r="T26" s="39"/>
      <c r="U26" s="74"/>
      <c r="V26" s="86" t="str">
        <f>CONCATENATE("     #  ",D29,":  ",H29,CHAR(10))</f>
        <v>     #  Vehicle's Registration Number:  AP 09CR 4190
</v>
      </c>
      <c r="W26" s="39"/>
      <c r="X26" s="74"/>
      <c r="Y26" s="74"/>
      <c r="Z26" s="42"/>
      <c r="AA26" s="42"/>
      <c r="AB26" s="39"/>
      <c r="AC26" s="42"/>
      <c r="AD26" s="42"/>
      <c r="AE26" s="42"/>
      <c r="AF26" s="42"/>
      <c r="AG26" s="42"/>
      <c r="AH26" s="42"/>
      <c r="AI26" s="42"/>
      <c r="AJ26" s="42"/>
    </row>
    <row r="27" spans="1:36" s="43" customFormat="1" ht="7.5" customHeight="1">
      <c r="A27" s="79"/>
      <c r="B27" s="83"/>
      <c r="C27" s="84"/>
      <c r="D27" s="84"/>
      <c r="E27" s="84"/>
      <c r="F27" s="84"/>
      <c r="G27" s="84"/>
      <c r="H27" s="84"/>
      <c r="I27" s="84"/>
      <c r="J27" s="84"/>
      <c r="K27" s="85"/>
      <c r="L27" s="39"/>
      <c r="M27" s="39"/>
      <c r="N27" s="39"/>
      <c r="O27" s="39"/>
      <c r="P27" s="39"/>
      <c r="Q27" s="39"/>
      <c r="R27" s="39"/>
      <c r="S27" s="39"/>
      <c r="T27" s="39"/>
      <c r="U27" s="74"/>
      <c r="V27" s="86" t="str">
        <f>CONCATENATE("     #  ",D30,":  ",H30,CHAR(10))</f>
        <v>     #  Make and Model of the Vehicle:  Ford Classic
</v>
      </c>
      <c r="W27" s="39"/>
      <c r="X27" s="74"/>
      <c r="Y27" s="74"/>
      <c r="Z27" s="42"/>
      <c r="AA27" s="42"/>
      <c r="AB27" s="39"/>
      <c r="AC27" s="42"/>
      <c r="AD27" s="42"/>
      <c r="AE27" s="42"/>
      <c r="AF27" s="42"/>
      <c r="AG27" s="42"/>
      <c r="AH27" s="42"/>
      <c r="AI27" s="42"/>
      <c r="AJ27" s="42"/>
    </row>
    <row r="28" spans="1:36" s="43" customFormat="1" ht="18" customHeight="1">
      <c r="A28" s="75"/>
      <c r="B28" s="83"/>
      <c r="C28" s="84"/>
      <c r="D28" s="652" t="s">
        <v>462</v>
      </c>
      <c r="E28" s="652"/>
      <c r="F28" s="652"/>
      <c r="G28" s="88" t="s">
        <v>106</v>
      </c>
      <c r="H28" s="652" t="str">
        <f>E4</f>
        <v>Mr. Lingachari Gogulamudi</v>
      </c>
      <c r="I28" s="652"/>
      <c r="J28" s="89"/>
      <c r="K28" s="90"/>
      <c r="L28" s="39"/>
      <c r="M28" s="666" t="s">
        <v>395</v>
      </c>
      <c r="N28" s="666"/>
      <c r="O28" s="379">
        <f>D11+F11</f>
        <v>909909</v>
      </c>
      <c r="P28" s="39"/>
      <c r="Q28" s="39"/>
      <c r="R28" s="39"/>
      <c r="S28" s="39"/>
      <c r="T28" s="95"/>
      <c r="U28" s="74" t="str">
        <f>IF(I4="Package Policy","Package Policy, ","Liability Only (Third Party) Policy")</f>
        <v>Package Policy, </v>
      </c>
      <c r="V28" s="86" t="str">
        <f>CONCATENATE("     #  Coverage to be offered: ",U28,U29,U30,U31,CHAR(10))</f>
        <v>     #  Coverage to be offered: Package Policy, NDP, EPC, RTI
</v>
      </c>
      <c r="W28" s="39"/>
      <c r="X28" s="74"/>
      <c r="Y28" s="74"/>
      <c r="Z28" s="42"/>
      <c r="AA28" s="42"/>
      <c r="AB28" s="39"/>
      <c r="AC28" s="42"/>
      <c r="AD28" s="42"/>
      <c r="AE28" s="42"/>
      <c r="AF28" s="42"/>
      <c r="AG28" s="42"/>
      <c r="AH28" s="42"/>
      <c r="AI28" s="42"/>
      <c r="AJ28" s="42"/>
    </row>
    <row r="29" spans="1:36" s="43" customFormat="1" ht="18" customHeight="1">
      <c r="A29" s="75"/>
      <c r="B29" s="83"/>
      <c r="C29" s="84"/>
      <c r="D29" s="652" t="s">
        <v>107</v>
      </c>
      <c r="E29" s="652"/>
      <c r="F29" s="652"/>
      <c r="G29" s="88" t="s">
        <v>106</v>
      </c>
      <c r="H29" s="652" t="str">
        <f>UPPER(D7)</f>
        <v>AP 09CR 4190</v>
      </c>
      <c r="I29" s="652"/>
      <c r="J29" s="89"/>
      <c r="K29" s="90"/>
      <c r="L29" s="39"/>
      <c r="M29" s="701" t="str">
        <f>CONCATENATE("EPC Rate for ",IF(M5="Fuel - Diesel","Diesel Engine","Other Engine"))</f>
        <v>EPC Rate for Diesel Engine</v>
      </c>
      <c r="N29" s="701"/>
      <c r="O29" s="380">
        <f>IF(M5="Fuel - Diesel",AD11,AC11)</f>
        <v>0.22</v>
      </c>
      <c r="P29" s="39"/>
      <c r="Q29" s="39"/>
      <c r="R29" s="39"/>
      <c r="S29" s="39"/>
      <c r="T29" s="39"/>
      <c r="U29" s="74" t="str">
        <f>IF(N4="W/o Ren Disc","NDP, ",IF(N4="W/o Ren Disc","NDP, ",""))</f>
        <v>NDP, </v>
      </c>
      <c r="V29" s="86" t="str">
        <f>IF(N23=2,"",(CONCATENATE("     #  ",D32,":  Rs.",H32,"/- ",CHAR(10))))</f>
        <v>     #  Sum Insured of Vehicle:  Rs.909909/- 
</v>
      </c>
      <c r="W29" s="39"/>
      <c r="X29" s="74"/>
      <c r="Y29" s="74"/>
      <c r="Z29" s="42"/>
      <c r="AA29" s="42"/>
      <c r="AB29" s="39"/>
      <c r="AC29" s="42"/>
      <c r="AD29" s="42"/>
      <c r="AE29" s="42"/>
      <c r="AF29" s="42"/>
      <c r="AG29" s="42"/>
      <c r="AH29" s="42"/>
      <c r="AI29" s="42"/>
      <c r="AJ29" s="42"/>
    </row>
    <row r="30" spans="1:36" s="43" customFormat="1" ht="18" customHeight="1">
      <c r="A30" s="75"/>
      <c r="B30" s="83"/>
      <c r="C30" s="84"/>
      <c r="D30" s="652" t="s">
        <v>108</v>
      </c>
      <c r="E30" s="652"/>
      <c r="F30" s="652"/>
      <c r="G30" s="88" t="s">
        <v>106</v>
      </c>
      <c r="H30" s="652" t="str">
        <f>PROPER(E7)</f>
        <v>Ford Classic</v>
      </c>
      <c r="I30" s="652"/>
      <c r="J30" s="89"/>
      <c r="K30" s="90"/>
      <c r="L30" s="39"/>
      <c r="M30" s="701" t="s">
        <v>393</v>
      </c>
      <c r="N30" s="701"/>
      <c r="O30" s="380">
        <f>ROUND(O28*O29%,)</f>
        <v>2002</v>
      </c>
      <c r="P30" s="39"/>
      <c r="Q30" s="39"/>
      <c r="R30" s="39"/>
      <c r="S30" s="39"/>
      <c r="T30" s="39"/>
      <c r="U30" s="74" t="str">
        <f>IF(M4="Yes-Required","EPC, ","")</f>
        <v>EPC, </v>
      </c>
      <c r="V30" s="86">
        <f>IF(N23=2,"",IF(E11=0,"",(CONCATENATE("     #  ",D33,":  Rs.",H33,"/- ",CHAR(10)))))</f>
      </c>
      <c r="W30" s="39"/>
      <c r="X30" s="74"/>
      <c r="Y30" s="41"/>
      <c r="Z30" s="42"/>
      <c r="AA30" s="42"/>
      <c r="AB30" s="39"/>
      <c r="AC30" s="42"/>
      <c r="AD30" s="42"/>
      <c r="AE30" s="42"/>
      <c r="AF30" s="42"/>
      <c r="AG30" s="42"/>
      <c r="AH30" s="42"/>
      <c r="AI30" s="42"/>
      <c r="AJ30" s="42"/>
    </row>
    <row r="31" spans="1:36" s="43" customFormat="1" ht="18" customHeight="1">
      <c r="A31" s="75"/>
      <c r="B31" s="83"/>
      <c r="C31" s="84"/>
      <c r="D31" s="652" t="s">
        <v>109</v>
      </c>
      <c r="E31" s="652"/>
      <c r="F31" s="652"/>
      <c r="G31" s="88" t="s">
        <v>106</v>
      </c>
      <c r="H31" s="652" t="str">
        <f>I4</f>
        <v>Package Policy</v>
      </c>
      <c r="I31" s="652"/>
      <c r="J31" s="89"/>
      <c r="K31" s="90"/>
      <c r="L31" s="39"/>
      <c r="M31" s="701" t="str">
        <f>IF(G15&gt;0,CONCATENATE("Less: NCB Disc @ ",G15,"% on Above"),"Less: NCB Disc, If Eligible")</f>
        <v>Less: NCB Disc @ 25% on Above</v>
      </c>
      <c r="N31" s="701"/>
      <c r="O31" s="380">
        <f>-O30*G15%</f>
        <v>-500.5</v>
      </c>
      <c r="P31" s="39"/>
      <c r="Q31" s="39"/>
      <c r="R31" s="39"/>
      <c r="S31" s="39"/>
      <c r="T31" s="39"/>
      <c r="U31" s="74" t="str">
        <f>IF(O4="Yes-Required","RTI","")</f>
        <v>RTI</v>
      </c>
      <c r="V31" s="86">
        <f>IF(N23=2,"",IF(F11=0,"",(CONCATENATE("     #  ",D34,":  Rs.",H34,"/- ",CHAR(10)))))</f>
      </c>
      <c r="W31" s="39"/>
      <c r="X31" s="74"/>
      <c r="Y31" s="41"/>
      <c r="Z31" s="42"/>
      <c r="AA31" s="42"/>
      <c r="AB31" s="39"/>
      <c r="AC31" s="42"/>
      <c r="AD31" s="42"/>
      <c r="AE31" s="42"/>
      <c r="AF31" s="42"/>
      <c r="AG31" s="42"/>
      <c r="AH31" s="42"/>
      <c r="AI31" s="42"/>
      <c r="AJ31" s="42"/>
    </row>
    <row r="32" spans="1:36" s="43" customFormat="1" ht="18" customHeight="1">
      <c r="A32" s="75"/>
      <c r="B32" s="83"/>
      <c r="C32" s="84"/>
      <c r="D32" s="652" t="str">
        <f>IF(F7&lt;5.01,"IDV (Insured's Declared Value) of Vehicle","Sum Insured of Vehicle")</f>
        <v>Sum Insured of Vehicle</v>
      </c>
      <c r="E32" s="652"/>
      <c r="F32" s="652"/>
      <c r="G32" s="88" t="s">
        <v>106</v>
      </c>
      <c r="H32" s="653">
        <f>D11</f>
        <v>909909</v>
      </c>
      <c r="I32" s="653"/>
      <c r="J32" s="89"/>
      <c r="K32" s="90"/>
      <c r="L32" s="39"/>
      <c r="M32" s="702"/>
      <c r="N32" s="702"/>
      <c r="O32" s="381">
        <f>O30+O31</f>
        <v>1501.5</v>
      </c>
      <c r="P32" s="39"/>
      <c r="Q32" s="39"/>
      <c r="R32" s="39"/>
      <c r="S32" s="39"/>
      <c r="T32" s="39"/>
      <c r="U32" s="39"/>
      <c r="V32" s="86">
        <f>IF(N28=1,CONCATENATE("     #  ",D35,":  Rs.",H35,"/-",CHAR(10)),"")</f>
      </c>
      <c r="W32" s="39"/>
      <c r="X32" s="74"/>
      <c r="Y32" s="41"/>
      <c r="Z32" s="42"/>
      <c r="AA32" s="42"/>
      <c r="AB32" s="39"/>
      <c r="AC32" s="42"/>
      <c r="AD32" s="42"/>
      <c r="AE32" s="42"/>
      <c r="AF32" s="42"/>
      <c r="AG32" s="42"/>
      <c r="AH32" s="42"/>
      <c r="AI32" s="42"/>
      <c r="AJ32" s="42"/>
    </row>
    <row r="33" spans="1:36" s="43" customFormat="1" ht="18" customHeight="1">
      <c r="A33" s="75"/>
      <c r="B33" s="83"/>
      <c r="C33" s="84"/>
      <c r="D33" s="652" t="s">
        <v>110</v>
      </c>
      <c r="E33" s="652"/>
      <c r="F33" s="652"/>
      <c r="G33" s="88" t="s">
        <v>106</v>
      </c>
      <c r="H33" s="653">
        <f>E11</f>
        <v>0</v>
      </c>
      <c r="I33" s="653"/>
      <c r="J33" s="89"/>
      <c r="K33" s="90"/>
      <c r="L33" s="39"/>
      <c r="M33" s="701" t="str">
        <f>CONCATENATE("Discount for Engine CC &lt; 1500 @ ",-AF13,"%")</f>
        <v>Discount for Engine CC &lt; 1500 @ 10%</v>
      </c>
      <c r="N33" s="701"/>
      <c r="O33" s="380"/>
      <c r="P33" s="39"/>
      <c r="Q33" s="39"/>
      <c r="R33" s="39"/>
      <c r="S33" s="39"/>
      <c r="T33" s="39"/>
      <c r="U33" s="74"/>
      <c r="V33" s="86" t="str">
        <f>CONCATENATE("     #  ",D36,":  ",H36," CC",CHAR(10))</f>
        <v>     #  Cubic Capacity of the Vehicle:  1001 - 1500 CC CC
</v>
      </c>
      <c r="W33" s="39"/>
      <c r="X33" s="74"/>
      <c r="Y33" s="41"/>
      <c r="Z33" s="42"/>
      <c r="AA33" s="42"/>
      <c r="AB33" s="39"/>
      <c r="AC33" s="42"/>
      <c r="AD33" s="42"/>
      <c r="AE33" s="42"/>
      <c r="AF33" s="42"/>
      <c r="AG33" s="42"/>
      <c r="AH33" s="42"/>
      <c r="AI33" s="42"/>
      <c r="AJ33" s="42"/>
    </row>
    <row r="34" spans="1:36" s="43" customFormat="1" ht="18" customHeight="1">
      <c r="A34" s="75"/>
      <c r="B34" s="83"/>
      <c r="C34" s="84"/>
      <c r="D34" s="652" t="s">
        <v>111</v>
      </c>
      <c r="E34" s="652"/>
      <c r="F34" s="652"/>
      <c r="G34" s="88" t="s">
        <v>106</v>
      </c>
      <c r="H34" s="653">
        <f>F11</f>
        <v>0</v>
      </c>
      <c r="I34" s="653"/>
      <c r="J34" s="89"/>
      <c r="K34" s="90"/>
      <c r="L34" s="39"/>
      <c r="M34" s="701" t="str">
        <f>CONCATENATE("Discount for IDV &lt; 10 Lac @ ",-AF14,"%")</f>
        <v>Discount for IDV &lt; 10 Lac @ 10%</v>
      </c>
      <c r="N34" s="701"/>
      <c r="O34" s="380"/>
      <c r="P34" s="39"/>
      <c r="Q34" s="39"/>
      <c r="R34" s="39"/>
      <c r="S34" s="39"/>
      <c r="T34" s="39"/>
      <c r="U34" s="74"/>
      <c r="V34" s="86" t="str">
        <f>CONCATENATE("     #  ",D37,":  ",(IF(H37="","New Vehicle",H37))," Year(s)",CHAR(10))</f>
        <v>     #  Age of Vehicle (As per RC):  6 Mths - 1 Yr Year(s)
</v>
      </c>
      <c r="W34" s="39"/>
      <c r="X34" s="74"/>
      <c r="Y34" s="41"/>
      <c r="Z34" s="42"/>
      <c r="AA34" s="42"/>
      <c r="AB34" s="39"/>
      <c r="AC34" s="42"/>
      <c r="AD34" s="42"/>
      <c r="AE34" s="42"/>
      <c r="AF34" s="42"/>
      <c r="AG34" s="42"/>
      <c r="AH34" s="42"/>
      <c r="AI34" s="42"/>
      <c r="AJ34" s="42"/>
    </row>
    <row r="35" spans="1:36" s="43" customFormat="1" ht="18" customHeight="1">
      <c r="A35" s="75"/>
      <c r="B35" s="83"/>
      <c r="C35" s="84"/>
      <c r="D35" s="652" t="s">
        <v>122</v>
      </c>
      <c r="E35" s="652"/>
      <c r="F35" s="652"/>
      <c r="G35" s="88" t="s">
        <v>106</v>
      </c>
      <c r="H35" s="653">
        <f>I11</f>
        <v>0</v>
      </c>
      <c r="I35" s="653"/>
      <c r="J35" s="89"/>
      <c r="K35" s="90"/>
      <c r="L35" s="39"/>
      <c r="M35" s="701" t="str">
        <f>CONCATENATE("Aggregate Discount (Max) @ ",-AF16,"%")</f>
        <v>Aggregate Discount (Max) @ 15%</v>
      </c>
      <c r="N35" s="701"/>
      <c r="O35" s="380">
        <f>O32*AF16%</f>
        <v>-225.225</v>
      </c>
      <c r="P35" s="39"/>
      <c r="Q35" s="39"/>
      <c r="R35" s="39"/>
      <c r="S35" s="39"/>
      <c r="T35" s="39"/>
      <c r="U35" s="74"/>
      <c r="V35" s="86">
        <f>IF(F15=0,"",(CONCATENATE("     #  Un-Named PA Coverage for Occupants:  Rs.",F15,"/- ",CHAR(10))))</f>
      </c>
      <c r="W35" s="39"/>
      <c r="X35" s="74"/>
      <c r="Y35" s="41"/>
      <c r="Z35" s="42"/>
      <c r="AA35" s="42"/>
      <c r="AB35" s="39"/>
      <c r="AC35" s="42"/>
      <c r="AD35" s="42"/>
      <c r="AE35" s="42"/>
      <c r="AF35" s="42"/>
      <c r="AG35" s="42"/>
      <c r="AH35" s="42"/>
      <c r="AI35" s="42"/>
      <c r="AJ35" s="42"/>
    </row>
    <row r="36" spans="1:36" s="43" customFormat="1" ht="18" customHeight="1">
      <c r="A36" s="75"/>
      <c r="B36" s="83"/>
      <c r="C36" s="84"/>
      <c r="D36" s="652" t="s">
        <v>112</v>
      </c>
      <c r="E36" s="652"/>
      <c r="F36" s="652"/>
      <c r="G36" s="88" t="s">
        <v>106</v>
      </c>
      <c r="H36" s="654" t="str">
        <f>G7</f>
        <v>1001 - 1500 CC</v>
      </c>
      <c r="I36" s="654"/>
      <c r="J36" s="89"/>
      <c r="K36" s="90"/>
      <c r="L36" s="39"/>
      <c r="M36" s="702"/>
      <c r="N36" s="702"/>
      <c r="O36" s="381">
        <f>O32+O35</f>
        <v>1276.275</v>
      </c>
      <c r="P36" s="39"/>
      <c r="Q36" s="39"/>
      <c r="R36" s="39"/>
      <c r="S36" s="39"/>
      <c r="T36" s="39"/>
      <c r="U36" s="74"/>
      <c r="V36" s="91" t="str">
        <f>IF(D15="No (Deletion)","     #  Owner-Driver-PA Cover:  Not Opted","     #  Owner-Driver-PA Cover:  Opted")</f>
        <v>     #  Owner-Driver-PA Cover:  Opted</v>
      </c>
      <c r="W36" s="39"/>
      <c r="X36" s="74"/>
      <c r="Y36" s="41"/>
      <c r="Z36" s="42"/>
      <c r="AA36" s="42"/>
      <c r="AB36" s="39"/>
      <c r="AC36" s="42"/>
      <c r="AD36" s="42"/>
      <c r="AE36" s="42"/>
      <c r="AF36" s="42"/>
      <c r="AG36" s="42"/>
      <c r="AH36" s="42"/>
      <c r="AI36" s="42"/>
      <c r="AJ36" s="42"/>
    </row>
    <row r="37" spans="1:36" s="43" customFormat="1" ht="18" customHeight="1">
      <c r="A37" s="75"/>
      <c r="B37" s="83"/>
      <c r="C37" s="84"/>
      <c r="D37" s="652" t="s">
        <v>113</v>
      </c>
      <c r="E37" s="652"/>
      <c r="F37" s="652"/>
      <c r="G37" s="88" t="s">
        <v>106</v>
      </c>
      <c r="H37" s="655" t="str">
        <f>IF(F7&lt;0.51,"New Vehicle",F7)</f>
        <v>6 Mths - 1 Yr</v>
      </c>
      <c r="I37" s="655"/>
      <c r="J37" s="89"/>
      <c r="K37" s="90"/>
      <c r="L37" s="39"/>
      <c r="M37" s="704" t="str">
        <f>CONCATENATE("Loading for Imported Vehicle @ ",AH15,"%")</f>
        <v>Loading for Imported Vehicle @ 0%</v>
      </c>
      <c r="N37" s="704"/>
      <c r="O37" s="380"/>
      <c r="P37" s="39"/>
      <c r="Q37" s="39"/>
      <c r="R37" s="39"/>
      <c r="S37" s="39"/>
      <c r="T37" s="39"/>
      <c r="U37" s="74"/>
      <c r="V37" s="39"/>
      <c r="W37" s="39"/>
      <c r="X37" s="74"/>
      <c r="Y37" s="41"/>
      <c r="Z37" s="42"/>
      <c r="AA37" s="42"/>
      <c r="AB37" s="39"/>
      <c r="AC37" s="42"/>
      <c r="AD37" s="42"/>
      <c r="AE37" s="42"/>
      <c r="AF37" s="42"/>
      <c r="AG37" s="42"/>
      <c r="AH37" s="42"/>
      <c r="AI37" s="42"/>
      <c r="AJ37" s="42"/>
    </row>
    <row r="38" spans="1:36" s="43" customFormat="1" ht="18" customHeight="1">
      <c r="A38" s="75"/>
      <c r="B38" s="83"/>
      <c r="C38" s="84"/>
      <c r="D38" s="652" t="s">
        <v>114</v>
      </c>
      <c r="E38" s="652"/>
      <c r="F38" s="652"/>
      <c r="G38" s="88" t="s">
        <v>106</v>
      </c>
      <c r="H38" s="652" t="str">
        <f>I7</f>
        <v>Zone:  A</v>
      </c>
      <c r="I38" s="652"/>
      <c r="J38" s="89"/>
      <c r="K38" s="90"/>
      <c r="L38" s="39"/>
      <c r="M38" s="704" t="str">
        <f>CONCATENATE("Loading for Engine CC &gt; 2500 @ ",AH13,"%")</f>
        <v>Loading for Engine CC &gt; 2500 @ 0%</v>
      </c>
      <c r="N38" s="704"/>
      <c r="O38" s="380"/>
      <c r="P38" s="39"/>
      <c r="Q38" s="39"/>
      <c r="R38" s="39"/>
      <c r="S38" s="39"/>
      <c r="T38" s="39"/>
      <c r="U38" s="74"/>
      <c r="V38" s="39"/>
      <c r="W38" s="39"/>
      <c r="X38" s="74"/>
      <c r="Y38" s="41"/>
      <c r="Z38" s="42"/>
      <c r="AA38" s="42"/>
      <c r="AB38" s="39"/>
      <c r="AC38" s="42"/>
      <c r="AD38" s="42"/>
      <c r="AE38" s="42"/>
      <c r="AF38" s="42"/>
      <c r="AG38" s="42"/>
      <c r="AH38" s="42"/>
      <c r="AI38" s="42"/>
      <c r="AJ38" s="42"/>
    </row>
    <row r="39" spans="1:36" s="43" customFormat="1" ht="18" customHeight="1">
      <c r="A39" s="75"/>
      <c r="B39" s="83"/>
      <c r="C39" s="84"/>
      <c r="D39" s="656" t="s">
        <v>115</v>
      </c>
      <c r="E39" s="656"/>
      <c r="F39" s="656"/>
      <c r="G39" s="656"/>
      <c r="H39" s="656"/>
      <c r="I39" s="656"/>
      <c r="J39" s="84"/>
      <c r="K39" s="90"/>
      <c r="L39" s="39"/>
      <c r="M39" s="701" t="str">
        <f>CONCATENATE("Loading for IDV &gt; 20 Lac @ ",AH14,"%")</f>
        <v>Loading for IDV &gt; 20 Lac @ 0%</v>
      </c>
      <c r="N39" s="701"/>
      <c r="O39" s="380"/>
      <c r="P39" s="39"/>
      <c r="Q39" s="39"/>
      <c r="R39" s="39"/>
      <c r="S39" s="39"/>
      <c r="T39" s="39"/>
      <c r="U39" s="296" t="s">
        <v>213</v>
      </c>
      <c r="V39" s="87"/>
      <c r="W39" s="87"/>
      <c r="X39" s="86"/>
      <c r="Y39" s="363" t="s">
        <v>384</v>
      </c>
      <c r="Z39" s="363" t="s">
        <v>385</v>
      </c>
      <c r="AA39" s="363" t="s">
        <v>386</v>
      </c>
      <c r="AB39" s="363" t="s">
        <v>217</v>
      </c>
      <c r="AC39" s="363" t="s">
        <v>218</v>
      </c>
      <c r="AD39" s="363" t="s">
        <v>389</v>
      </c>
      <c r="AE39" s="364" t="s">
        <v>387</v>
      </c>
      <c r="AF39" s="363" t="s">
        <v>388</v>
      </c>
      <c r="AG39" s="363" t="s">
        <v>390</v>
      </c>
      <c r="AH39" s="42"/>
      <c r="AI39" s="42"/>
      <c r="AJ39" s="42"/>
    </row>
    <row r="40" spans="1:36" s="43" customFormat="1" ht="18" customHeight="1">
      <c r="A40" s="75"/>
      <c r="B40" s="83"/>
      <c r="C40" s="84"/>
      <c r="D40" s="657" t="str">
        <f>IF(S40&lt;24,"Basic OD Premium",(VLOOKUP(S40,$T$40:$V$52,3,0)))</f>
        <v>Basic OD Premium @ 3.283 % on Veh Value</v>
      </c>
      <c r="E40" s="657"/>
      <c r="F40" s="657"/>
      <c r="G40" s="657"/>
      <c r="H40" s="93" t="str">
        <f aca="true" t="shared" si="1" ref="H40:H52">IF(D40="","",":")</f>
        <v>:</v>
      </c>
      <c r="I40" s="94">
        <f>IF(S40&lt;24,0,VLOOKUP(S40,$T$40:$V$52,2,0))</f>
        <v>29872</v>
      </c>
      <c r="J40" s="84"/>
      <c r="K40" s="90"/>
      <c r="L40" s="39"/>
      <c r="M40" s="705" t="str">
        <f>CONCATENATE("Aggregate Loading (Max) @ ",AH16,"%")</f>
        <v>Aggregate Loading (Max) @ 0%</v>
      </c>
      <c r="N40" s="705"/>
      <c r="O40" s="382">
        <f>O32*AH16%</f>
        <v>0</v>
      </c>
      <c r="P40" s="39"/>
      <c r="Q40" s="371">
        <v>1</v>
      </c>
      <c r="R40" s="370">
        <f aca="true" t="shared" si="2" ref="R40:R52">IF(U40=0,Q40,T40)</f>
        <v>40</v>
      </c>
      <c r="S40" s="370">
        <f>LARGE($R$40:$R$52,ROWS(R$40:R40))</f>
        <v>40</v>
      </c>
      <c r="T40" s="370">
        <v>40</v>
      </c>
      <c r="U40" s="126">
        <f>IF($I$4="Package Policy",ROUND(($D$11*$R$12%),0),0)</f>
        <v>29872</v>
      </c>
      <c r="V40" s="99" t="str">
        <f>IF(U40=0,"Basic OD Premium",CONCATENATE("Basic OD Premium @ ",R12," % on Veh Value"))</f>
        <v>Basic OD Premium @ 3.283 % on Veh Value</v>
      </c>
      <c r="W40" s="99"/>
      <c r="X40" s="99"/>
      <c r="Y40" s="126">
        <f>($D$11*$R$12%)</f>
        <v>29872.312469999997</v>
      </c>
      <c r="Z40" s="126">
        <f>($D$11*$R$12%)</f>
        <v>29872.312469999997</v>
      </c>
      <c r="AA40" s="126">
        <f>($D$11*$R$12%)</f>
        <v>29872.312469999997</v>
      </c>
      <c r="AB40" s="126">
        <f>($D$11*$R$12%)</f>
        <v>29872.312469999997</v>
      </c>
      <c r="AC40" s="348"/>
      <c r="AD40" s="365">
        <f>IF(Y61=0,0,(Y61-AD47+AD48-AD49))</f>
        <v>20475</v>
      </c>
      <c r="AE40" s="365">
        <f>IF(Z61=0,0,(Z61-AE47+AE48-AE49))</f>
        <v>17572</v>
      </c>
      <c r="AF40" s="365">
        <f>IF(AA61=0,0,(AA61-AF47+AF48-AF49))</f>
        <v>18458</v>
      </c>
      <c r="AG40" s="365">
        <f>IF(AB61=0,0,(AB61-AG47+AG48-AG49))</f>
        <v>15555</v>
      </c>
      <c r="AH40" s="42"/>
      <c r="AI40" s="42"/>
      <c r="AJ40" s="42"/>
    </row>
    <row r="41" spans="1:36" s="43" customFormat="1" ht="18" customHeight="1">
      <c r="A41" s="75"/>
      <c r="B41" s="83"/>
      <c r="C41" s="84"/>
      <c r="D41" s="657" t="str">
        <f aca="true" t="shared" si="3" ref="D41:D52">IF(S41&lt;24,"",(VLOOKUP(S41,$T$40:$V$52,3,0)))</f>
        <v>Less: U/w (De-Tariff) Discount @ 45%</v>
      </c>
      <c r="E41" s="657"/>
      <c r="F41" s="657"/>
      <c r="G41" s="657"/>
      <c r="H41" s="93" t="str">
        <f t="shared" si="1"/>
        <v>:</v>
      </c>
      <c r="I41" s="94">
        <f aca="true" t="shared" si="4" ref="I41:I52">IF(S41&lt;24,"",VLOOKUP(S41,$T$40:$V$52,2,0))</f>
        <v>-13442.4</v>
      </c>
      <c r="J41" s="84"/>
      <c r="K41" s="90"/>
      <c r="L41" s="39"/>
      <c r="M41" s="703" t="s">
        <v>394</v>
      </c>
      <c r="N41" s="703"/>
      <c r="O41" s="378">
        <f>ROUND(O36+O40,0)</f>
        <v>1276</v>
      </c>
      <c r="P41" s="39"/>
      <c r="Q41" s="371">
        <f>Q40+1</f>
        <v>2</v>
      </c>
      <c r="R41" s="370">
        <f t="shared" si="2"/>
        <v>2</v>
      </c>
      <c r="S41" s="370">
        <f>LARGE($R$40:$R$52,ROWS(R$40:R41))</f>
        <v>36</v>
      </c>
      <c r="T41" s="370">
        <f>T40-1</f>
        <v>39</v>
      </c>
      <c r="U41" s="347">
        <f>IF($U$40=0,0,$E$11*4%)</f>
        <v>0</v>
      </c>
      <c r="V41" s="99">
        <f>IF(U41=0,"","Add: Prem @ 4% for Ele Accessories' Value")</f>
      </c>
      <c r="W41" s="99"/>
      <c r="X41" s="99"/>
      <c r="Y41" s="347">
        <f>IF($Y$40=0,0,$E$11*4%)</f>
        <v>0</v>
      </c>
      <c r="Z41" s="347">
        <f>IF($Z$40=0,0,$E$11*4%)</f>
        <v>0</v>
      </c>
      <c r="AA41" s="347">
        <f>IF($AA$40=0,0,$E$11*4%)</f>
        <v>0</v>
      </c>
      <c r="AB41" s="347">
        <f>IF($AB$40=0,0,$E$11*4%)</f>
        <v>0</v>
      </c>
      <c r="AC41" s="347"/>
      <c r="AD41" s="365">
        <f>IF(AD40=0,0,$O$41)</f>
        <v>1276</v>
      </c>
      <c r="AE41" s="365">
        <f>IF(AE40=0,0,$O$41)</f>
        <v>1276</v>
      </c>
      <c r="AF41" s="365">
        <f>IF(AF40=0,0,$O$41)</f>
        <v>1276</v>
      </c>
      <c r="AG41" s="365">
        <f>IF(AG40=0,0,$O$41)</f>
        <v>1276</v>
      </c>
      <c r="AH41" s="42"/>
      <c r="AI41" s="42"/>
      <c r="AJ41" s="42"/>
    </row>
    <row r="42" spans="1:36" s="43" customFormat="1" ht="18" customHeight="1">
      <c r="A42" s="75"/>
      <c r="B42" s="83"/>
      <c r="C42" s="84"/>
      <c r="D42" s="657" t="str">
        <f t="shared" si="3"/>
        <v>Add: NDP Prem (Nil/Zero Depreciation) @ 15%</v>
      </c>
      <c r="E42" s="657"/>
      <c r="F42" s="657"/>
      <c r="G42" s="657"/>
      <c r="H42" s="93" t="str">
        <f t="shared" si="1"/>
        <v>:</v>
      </c>
      <c r="I42" s="94">
        <f t="shared" si="4"/>
        <v>4481</v>
      </c>
      <c r="J42" s="84"/>
      <c r="K42" s="90"/>
      <c r="L42" s="39"/>
      <c r="M42" s="39"/>
      <c r="N42" s="39"/>
      <c r="O42" s="39"/>
      <c r="P42" s="39"/>
      <c r="Q42" s="371">
        <f aca="true" t="shared" si="5" ref="Q42:Q52">Q41+1</f>
        <v>3</v>
      </c>
      <c r="R42" s="370">
        <f t="shared" si="2"/>
        <v>3</v>
      </c>
      <c r="S42" s="370">
        <f>LARGE($R$40:$R$52,ROWS(R$40:R42))</f>
        <v>35</v>
      </c>
      <c r="T42" s="370">
        <f aca="true" t="shared" si="6" ref="T42:T52">T41-1</f>
        <v>38</v>
      </c>
      <c r="U42" s="127">
        <f>IF($U$40=0,0,$F$11*$R$12%)</f>
        <v>0</v>
      </c>
      <c r="V42" s="99">
        <f>IF(U42=0,"",CONCATENATE("Add: Prem @ ",R12,"% on Non-Ele Accs' Value"))</f>
      </c>
      <c r="W42" s="99"/>
      <c r="X42" s="99"/>
      <c r="Y42" s="127">
        <f>IF($Y$40=0,0,$F$11*$R$12%)</f>
        <v>0</v>
      </c>
      <c r="Z42" s="127">
        <f>IF($Z$40=0,0,$F$11*$R$12%)</f>
        <v>0</v>
      </c>
      <c r="AA42" s="127">
        <f>IF($AA$40=0,0,$F$11*$R$12%)</f>
        <v>0</v>
      </c>
      <c r="AB42" s="127">
        <f>IF($AB$40=0,0,$F$11*$R$12%)</f>
        <v>0</v>
      </c>
      <c r="AC42" s="347"/>
      <c r="AD42" s="347">
        <f>ROUND(IF(AD41=0,0,SUM(AD40:AD41)),0)</f>
        <v>21751</v>
      </c>
      <c r="AE42" s="347">
        <f>ROUND(IF(AE41=0,0,SUM(AE40:AE41)),0)</f>
        <v>18848</v>
      </c>
      <c r="AF42" s="347">
        <f>ROUND(IF(AF41=0,0,SUM(AF40:AF41)),0)</f>
        <v>19734</v>
      </c>
      <c r="AG42" s="347">
        <f>ROUND(IF(AG41=0,0,SUM(AG40:AG41)),0)</f>
        <v>16831</v>
      </c>
      <c r="AH42" s="42"/>
      <c r="AI42" s="42"/>
      <c r="AJ42" s="42"/>
    </row>
    <row r="43" spans="1:36" s="43" customFormat="1" ht="18" customHeight="1">
      <c r="A43" s="75"/>
      <c r="B43" s="83"/>
      <c r="C43" s="84"/>
      <c r="D43" s="657" t="str">
        <f t="shared" si="3"/>
        <v>    # Less: Discount on NDP Prem @ 40%</v>
      </c>
      <c r="E43" s="657"/>
      <c r="F43" s="657"/>
      <c r="G43" s="657"/>
      <c r="H43" s="93" t="str">
        <f t="shared" si="1"/>
        <v>:</v>
      </c>
      <c r="I43" s="94">
        <f t="shared" si="4"/>
        <v>-1792</v>
      </c>
      <c r="J43" s="84"/>
      <c r="K43" s="90"/>
      <c r="L43" s="39"/>
      <c r="M43" s="39"/>
      <c r="N43" s="39"/>
      <c r="O43" s="39"/>
      <c r="P43" s="39"/>
      <c r="Q43" s="371">
        <f t="shared" si="5"/>
        <v>4</v>
      </c>
      <c r="R43" s="370">
        <f t="shared" si="2"/>
        <v>4</v>
      </c>
      <c r="S43" s="370">
        <f>LARGE($R$40:$R$52,ROWS(R$40:R43))</f>
        <v>33</v>
      </c>
      <c r="T43" s="370">
        <f t="shared" si="6"/>
        <v>37</v>
      </c>
      <c r="U43" s="127">
        <f>IF($U$40=0,0,IF($G$11="No",0,IF($G$11="",0,$I$11*4%)))</f>
        <v>0</v>
      </c>
      <c r="V43" s="99">
        <f>IF(U43=0,"",CONCATENATE("Add: Prem @ 4% on Value of CNG/LPG Kit"))</f>
      </c>
      <c r="W43" s="99"/>
      <c r="X43" s="99"/>
      <c r="Y43" s="127">
        <f>IF($Y$40=0,0,IF($G$11="No",0,IF($G$11="",0,$I$11*4%)))</f>
        <v>0</v>
      </c>
      <c r="Z43" s="127">
        <f>IF($Z$40=0,0,IF($G$11="No",0,IF($G$11="",0,$I$11*4%)))</f>
        <v>0</v>
      </c>
      <c r="AA43" s="127">
        <f>IF($AA$40=0,0,IF($G$11="No",0,IF($G$11="",0,$I$11*4%)))</f>
        <v>0</v>
      </c>
      <c r="AB43" s="127">
        <f>IF($AB$40=0,0,IF($G$11="No",0,IF($G$11="",0,$I$11*4%)))</f>
        <v>0</v>
      </c>
      <c r="AC43" s="347"/>
      <c r="AD43" s="347">
        <f>SUM(AD45,AD46)</f>
        <v>3916</v>
      </c>
      <c r="AE43" s="347">
        <f>SUM(AE45,AE46)</f>
        <v>3392</v>
      </c>
      <c r="AF43" s="347">
        <f>SUM(AF45,AF46)</f>
        <v>3552</v>
      </c>
      <c r="AG43" s="347">
        <f>SUM(AG45,AG46)</f>
        <v>3030</v>
      </c>
      <c r="AH43" s="42"/>
      <c r="AI43" s="42"/>
      <c r="AJ43" s="42"/>
    </row>
    <row r="44" spans="1:36" s="43" customFormat="1" ht="18" customHeight="1">
      <c r="A44" s="75"/>
      <c r="B44" s="83"/>
      <c r="C44" s="84"/>
      <c r="D44" s="657" t="str">
        <f t="shared" si="3"/>
        <v>Add: RTI Prem (Return to Invoice) @ 0.4%</v>
      </c>
      <c r="E44" s="657"/>
      <c r="F44" s="657"/>
      <c r="G44" s="657"/>
      <c r="H44" s="93" t="str">
        <f t="shared" si="1"/>
        <v>:</v>
      </c>
      <c r="I44" s="94">
        <f>IF(S44&lt;24,"",VLOOKUP(S44,$T$40:$V$52,2,0))</f>
        <v>3640</v>
      </c>
      <c r="J44" s="84"/>
      <c r="K44" s="90"/>
      <c r="L44" s="39"/>
      <c r="M44" s="39"/>
      <c r="N44" s="39"/>
      <c r="O44" s="39"/>
      <c r="P44" s="39"/>
      <c r="Q44" s="371">
        <f t="shared" si="5"/>
        <v>5</v>
      </c>
      <c r="R44" s="370">
        <f t="shared" si="2"/>
        <v>36</v>
      </c>
      <c r="S44" s="370">
        <f>LARGE($R$40:$R$52,ROWS(R$40:R44))</f>
        <v>32</v>
      </c>
      <c r="T44" s="370">
        <f t="shared" si="6"/>
        <v>36</v>
      </c>
      <c r="U44" s="127">
        <f>-ROUND(SUM($U$40:$U$42)*$I$15%,2)</f>
        <v>-13442.4</v>
      </c>
      <c r="V44" s="99" t="str">
        <f>IF(U44=0,"",(CONCATENATE("Less: U/w (De-Tariff) Discount @ ",I15,"%")))</f>
        <v>Less: U/w (De-Tariff) Discount @ 45%</v>
      </c>
      <c r="W44" s="99"/>
      <c r="X44" s="99"/>
      <c r="Y44" s="127">
        <f>-ROUND(SUM($Y$40:$Y$42)*$I$15%,2)</f>
        <v>-13442.54</v>
      </c>
      <c r="Z44" s="127">
        <f>-ROUND(SUM($Z$40:$Z$42)*$I$15%,2)</f>
        <v>-13442.54</v>
      </c>
      <c r="AA44" s="127">
        <f>-ROUND(SUM($AA$40:$AA$42)*$I$15%,2)</f>
        <v>-13442.54</v>
      </c>
      <c r="AB44" s="127">
        <f>-ROUND(SUM($AB$40:$AB$42)*$I$15%,2)</f>
        <v>-13442.54</v>
      </c>
      <c r="AC44" s="347"/>
      <c r="AD44" s="349">
        <f>SUM(AD42:AD43)</f>
        <v>25667</v>
      </c>
      <c r="AE44" s="349">
        <f>SUM(AE42:AE43)</f>
        <v>22240</v>
      </c>
      <c r="AF44" s="349">
        <f>SUM(AF42:AF43)</f>
        <v>23286</v>
      </c>
      <c r="AG44" s="349">
        <f>SUM(AG42:AG43)</f>
        <v>19861</v>
      </c>
      <c r="AH44" s="42"/>
      <c r="AI44" s="42"/>
      <c r="AJ44" s="42"/>
    </row>
    <row r="45" spans="1:36" s="43" customFormat="1" ht="18" customHeight="1">
      <c r="A45" s="75"/>
      <c r="B45" s="83"/>
      <c r="C45" s="84"/>
      <c r="D45" s="657" t="str">
        <f t="shared" si="3"/>
        <v>    # Less: Discount on RTI Prem @ 27%</v>
      </c>
      <c r="E45" s="657"/>
      <c r="F45" s="657"/>
      <c r="G45" s="657"/>
      <c r="H45" s="93" t="str">
        <f t="shared" si="1"/>
        <v>:</v>
      </c>
      <c r="I45" s="94">
        <f t="shared" si="4"/>
        <v>-983</v>
      </c>
      <c r="J45" s="84"/>
      <c r="K45" s="90"/>
      <c r="L45" s="39"/>
      <c r="M45" s="39"/>
      <c r="N45" s="39"/>
      <c r="O45" s="39"/>
      <c r="P45" s="39"/>
      <c r="Q45" s="371">
        <f t="shared" si="5"/>
        <v>6</v>
      </c>
      <c r="R45" s="370">
        <f t="shared" si="2"/>
        <v>35</v>
      </c>
      <c r="S45" s="370">
        <f>LARGE($R$40:$R$52,ROWS(R$40:R45))</f>
        <v>31</v>
      </c>
      <c r="T45" s="370">
        <f t="shared" si="6"/>
        <v>35</v>
      </c>
      <c r="U45" s="127">
        <f>IF($N$4="",0,IF($N$4="No-Not Required",0,(ROUND(SUM($U$40:$U$43)*$R$14%,0))))</f>
        <v>4481</v>
      </c>
      <c r="V45" s="99" t="str">
        <f>IF(U45=0,"",(CONCATENATE("Add: NDP Prem (Nil/Zero Depreciation) @ ",R14,"%")))</f>
        <v>Add: NDP Prem (Nil/Zero Depreciation) @ 15%</v>
      </c>
      <c r="W45" s="99"/>
      <c r="X45" s="99"/>
      <c r="Y45" s="127">
        <f>ROUND(SUM($Y$40:$Y$43)*$R$14%,0)</f>
        <v>4481</v>
      </c>
      <c r="Z45" s="127">
        <f>ROUND(SUM($Z$40:$Z$43)*$R$14%,0)</f>
        <v>4481</v>
      </c>
      <c r="AA45" s="127"/>
      <c r="AB45" s="127"/>
      <c r="AC45" s="347"/>
      <c r="AD45" s="366">
        <f>ROUND(AD$42*Sign!$E$12%,0)</f>
        <v>1958</v>
      </c>
      <c r="AE45" s="366">
        <f>ROUND(AE$42*Sign!$E$12%,0)</f>
        <v>1696</v>
      </c>
      <c r="AF45" s="366">
        <f>ROUND(AF$42*Sign!$E$12%,0)</f>
        <v>1776</v>
      </c>
      <c r="AG45" s="366">
        <f>ROUND(AG$42*Sign!$E$12%,0)</f>
        <v>1515</v>
      </c>
      <c r="AH45" s="42"/>
      <c r="AI45" s="42"/>
      <c r="AJ45" s="42"/>
    </row>
    <row r="46" spans="1:36" s="43" customFormat="1" ht="18" customHeight="1">
      <c r="A46" s="75"/>
      <c r="B46" s="83"/>
      <c r="C46" s="84"/>
      <c r="D46" s="657" t="str">
        <f t="shared" si="3"/>
        <v>Less: NCB @ 25% (Subject to No Claim)</v>
      </c>
      <c r="E46" s="657"/>
      <c r="F46" s="657"/>
      <c r="G46" s="657"/>
      <c r="H46" s="93" t="str">
        <f t="shared" si="1"/>
        <v>:</v>
      </c>
      <c r="I46" s="94">
        <f t="shared" si="4"/>
        <v>-4533.9</v>
      </c>
      <c r="J46" s="84"/>
      <c r="K46" s="90"/>
      <c r="L46" s="39"/>
      <c r="M46" s="39"/>
      <c r="N46" s="39"/>
      <c r="O46" s="39"/>
      <c r="P46" s="39"/>
      <c r="Q46" s="371">
        <f t="shared" si="5"/>
        <v>7</v>
      </c>
      <c r="R46" s="370">
        <f t="shared" si="2"/>
        <v>7</v>
      </c>
      <c r="S46" s="370">
        <f>LARGE($R$40:$R$52,ROWS(R$40:R46))</f>
        <v>29</v>
      </c>
      <c r="T46" s="370">
        <f t="shared" si="6"/>
        <v>34</v>
      </c>
      <c r="U46" s="127">
        <f>-ROUND(IF($N$4="With Ren Disc",$U$45*5%,0),0)</f>
        <v>0</v>
      </c>
      <c r="V46" s="99">
        <f>IF(U46=0,"",(CONCATENATE("    # Less: Renewal Discount on NDP Prem @ 5%")))</f>
      </c>
      <c r="W46" s="99"/>
      <c r="X46" s="99"/>
      <c r="Y46" s="127">
        <f>-ROUND(IF($N$4="With Ren Disc",$Y$45*5%,0),0)</f>
        <v>0</v>
      </c>
      <c r="Z46" s="127">
        <f>-ROUND(IF($N$4="With Ren Disc",$Z$45*5%,0),0)</f>
        <v>0</v>
      </c>
      <c r="AA46" s="127"/>
      <c r="AB46" s="127"/>
      <c r="AC46" s="347"/>
      <c r="AD46" s="367">
        <f>ROUND(AD$42*Sign!$E$13%,0)</f>
        <v>1958</v>
      </c>
      <c r="AE46" s="367">
        <f>ROUND(AE$42*Sign!$E$13%,0)</f>
        <v>1696</v>
      </c>
      <c r="AF46" s="367">
        <f>ROUND(AF$42*Sign!$E$13%,0)</f>
        <v>1776</v>
      </c>
      <c r="AG46" s="367">
        <f>ROUND(AG$42*Sign!$E$13%,0)</f>
        <v>1515</v>
      </c>
      <c r="AH46" s="42"/>
      <c r="AI46" s="42"/>
      <c r="AJ46" s="42"/>
    </row>
    <row r="47" spans="1:36" s="43" customFormat="1" ht="18" customHeight="1">
      <c r="A47" s="75"/>
      <c r="B47" s="83"/>
      <c r="C47" s="84"/>
      <c r="D47" s="657" t="str">
        <f t="shared" si="3"/>
        <v>Add: Engine Protect Cover (EPC)</v>
      </c>
      <c r="E47" s="657"/>
      <c r="F47" s="657"/>
      <c r="G47" s="657"/>
      <c r="H47" s="93" t="str">
        <f t="shared" si="1"/>
        <v>:</v>
      </c>
      <c r="I47" s="94">
        <f t="shared" si="4"/>
        <v>1276</v>
      </c>
      <c r="J47" s="84"/>
      <c r="K47" s="90"/>
      <c r="L47" s="39"/>
      <c r="M47" s="39"/>
      <c r="N47" s="39"/>
      <c r="O47" s="39"/>
      <c r="P47" s="39"/>
      <c r="Q47" s="371">
        <f t="shared" si="5"/>
        <v>8</v>
      </c>
      <c r="R47" s="370">
        <f t="shared" si="2"/>
        <v>33</v>
      </c>
      <c r="S47" s="370">
        <f>LARGE($R$40:$R$52,ROWS(R$40:R47))</f>
        <v>28</v>
      </c>
      <c r="T47" s="370">
        <f t="shared" si="6"/>
        <v>33</v>
      </c>
      <c r="U47" s="127">
        <f>-ROUND(IF(I15="",0,$U$45*MIN($AF$11,$N$6))%,0)</f>
        <v>-1792</v>
      </c>
      <c r="V47" s="99" t="str">
        <f>IF(U47=0,"",(CONCATENATE("    # Less: Discount on NDP Prem @ ",MIN(AF11,N6),"%")))</f>
        <v>    # Less: Discount on NDP Prem @ 40%</v>
      </c>
      <c r="W47" s="99"/>
      <c r="X47" s="99"/>
      <c r="Y47" s="127">
        <f>-ROUND(IF(I15="",0,$Y$45*MIN($AF$11,$N$6))%,0)</f>
        <v>-1792</v>
      </c>
      <c r="Z47" s="127">
        <f>-ROUND(IF(I15="",0,$Z$45*MIN($AF$11,$N$6))%,0)</f>
        <v>-1792</v>
      </c>
      <c r="AA47" s="127"/>
      <c r="AB47" s="127"/>
      <c r="AC47" s="347"/>
      <c r="AD47" s="391">
        <f>Y50</f>
        <v>0</v>
      </c>
      <c r="AE47" s="391">
        <f>Z50</f>
        <v>0</v>
      </c>
      <c r="AF47" s="391">
        <f>AA50</f>
        <v>0</v>
      </c>
      <c r="AG47" s="391">
        <f>AB50</f>
        <v>0</v>
      </c>
      <c r="AH47" s="42"/>
      <c r="AI47" s="42"/>
      <c r="AJ47" s="42"/>
    </row>
    <row r="48" spans="1:36" s="43" customFormat="1" ht="18" customHeight="1">
      <c r="A48" s="75"/>
      <c r="B48" s="83"/>
      <c r="C48" s="84"/>
      <c r="D48" s="657">
        <f t="shared" si="3"/>
      </c>
      <c r="E48" s="657"/>
      <c r="F48" s="657"/>
      <c r="G48" s="657"/>
      <c r="H48" s="93">
        <f t="shared" si="1"/>
      </c>
      <c r="I48" s="94">
        <f t="shared" si="4"/>
      </c>
      <c r="J48" s="84"/>
      <c r="K48" s="90"/>
      <c r="L48" s="39"/>
      <c r="M48" s="329"/>
      <c r="N48" s="39"/>
      <c r="O48" s="39"/>
      <c r="P48" s="39"/>
      <c r="Q48" s="371">
        <f t="shared" si="5"/>
        <v>9</v>
      </c>
      <c r="R48" s="370">
        <f t="shared" si="2"/>
        <v>32</v>
      </c>
      <c r="S48" s="370">
        <f>LARGE($R$40:$R$52,ROWS(R$40:R48))</f>
        <v>11</v>
      </c>
      <c r="T48" s="370">
        <f t="shared" si="6"/>
        <v>32</v>
      </c>
      <c r="U48" s="127">
        <f>ROUND(IF(U40=0,0,IF($O$4="Yes-Required",($D$11+$F$11)*$S$14%,0)),0)</f>
        <v>3640</v>
      </c>
      <c r="V48" s="99" t="str">
        <f>IF(U48=0,"",(CONCATENATE("Add: RTI Prem (Return to Invoice) @ ",S14,"%")))</f>
        <v>Add: RTI Prem (Return to Invoice) @ 0.4%</v>
      </c>
      <c r="W48" s="99"/>
      <c r="X48" s="99"/>
      <c r="Y48" s="127">
        <f>ROUND(($D$11+$F$11)*$S$14%,0)</f>
        <v>3640</v>
      </c>
      <c r="Z48" s="127"/>
      <c r="AA48" s="127">
        <f>ROUND(($D$11+$F$11)*$S$14%,0)</f>
        <v>3640</v>
      </c>
      <c r="AB48" s="127"/>
      <c r="AC48" s="347"/>
      <c r="AD48" s="414">
        <f>-MIN(ROUND(IF($I$18="Anti Theft - Yes",((SUM($Y$40:$Y$44,O30))*2.5%),0),1),500)</f>
        <v>0</v>
      </c>
      <c r="AE48" s="391">
        <f>-MIN(ROUND(IF($I$18="Anti Theft - Yes",((SUM($Z$40:$Z$44,O30))*2.5%),0),1),500)</f>
        <v>0</v>
      </c>
      <c r="AF48" s="391">
        <f>-MIN(ROUND(IF($I$18="Anti Theft - Yes",((SUM($AA$40:$AA$44,O30))*2.5%),0),1),500)</f>
        <v>0</v>
      </c>
      <c r="AG48" s="391">
        <f>-MIN(ROUND(IF($I$18="Anti Theft - Yes",((SUM($AB$40:$AB$44,O30))*2.5%),0),1),500)</f>
        <v>0</v>
      </c>
      <c r="AH48" s="42"/>
      <c r="AI48" s="42"/>
      <c r="AJ48" s="42"/>
    </row>
    <row r="49" spans="1:36" s="43" customFormat="1" ht="18" customHeight="1">
      <c r="A49" s="75"/>
      <c r="B49" s="83"/>
      <c r="C49" s="84"/>
      <c r="D49" s="657">
        <f t="shared" si="3"/>
      </c>
      <c r="E49" s="657"/>
      <c r="F49" s="657"/>
      <c r="G49" s="657"/>
      <c r="H49" s="93">
        <f t="shared" si="1"/>
      </c>
      <c r="I49" s="94">
        <f t="shared" si="4"/>
      </c>
      <c r="J49" s="84"/>
      <c r="K49" s="90"/>
      <c r="L49" s="39"/>
      <c r="M49" s="329"/>
      <c r="N49" s="39"/>
      <c r="O49" s="39"/>
      <c r="P49" s="39"/>
      <c r="Q49" s="371">
        <f t="shared" si="5"/>
        <v>10</v>
      </c>
      <c r="R49" s="370">
        <f t="shared" si="2"/>
        <v>31</v>
      </c>
      <c r="S49" s="370">
        <f>LARGE($R$40:$R$52,ROWS(R$40:R49))</f>
        <v>7</v>
      </c>
      <c r="T49" s="370">
        <f t="shared" si="6"/>
        <v>31</v>
      </c>
      <c r="U49" s="127">
        <f>-ROUND(IF(I15="",0,$U$48*(IF($N$6=0,MIN($O$6,$I$15),MIN($N$6,$O$6,$I$15))))%,0)</f>
        <v>-983</v>
      </c>
      <c r="V49" s="99" t="str">
        <f>IF(U49=0,"",(CONCATENATE("    # Less: Discount on RTI Prem @ ",(IF($N$6=0,MIN($O$6,$I$15),MIN($N$6,$O$6,$I$15))),"%")))</f>
        <v>    # Less: Discount on RTI Prem @ 27%</v>
      </c>
      <c r="W49" s="99"/>
      <c r="X49" s="99"/>
      <c r="Y49" s="127">
        <f>-ROUND(IF(I15="",0,$Y$48*(IF($N$6=0,MIN($O$6,$I$15),MIN($N$6,$O$6,$I$15))))%,0)</f>
        <v>-983</v>
      </c>
      <c r="Z49" s="127"/>
      <c r="AA49" s="127">
        <f>-ROUND(IF(I15="",0,$AA$48*(IF($N$6=0,MIN($O$6,$I$15),MIN($N$6,$O$6,$I$15))))%,0)</f>
        <v>-983</v>
      </c>
      <c r="AB49" s="127"/>
      <c r="AC49" s="347"/>
      <c r="AD49" s="413">
        <f>ROUND((AD48-AD47)*$G$15%,2)</f>
        <v>0</v>
      </c>
      <c r="AE49" s="413">
        <f>ROUND((AE48-AE47)*$G$15%,2)</f>
        <v>0</v>
      </c>
      <c r="AF49" s="413">
        <f>ROUND((AF48-AF47)*$G$15%,2)</f>
        <v>0</v>
      </c>
      <c r="AG49" s="413">
        <f>ROUND((AG48-AG47)*$G$15%,2)</f>
        <v>0</v>
      </c>
      <c r="AH49" s="42"/>
      <c r="AI49" s="42"/>
      <c r="AJ49" s="42"/>
    </row>
    <row r="50" spans="1:36" s="43" customFormat="1" ht="18" customHeight="1">
      <c r="A50" s="75"/>
      <c r="B50" s="83"/>
      <c r="C50" s="84"/>
      <c r="D50" s="657">
        <f t="shared" si="3"/>
      </c>
      <c r="E50" s="657"/>
      <c r="F50" s="657"/>
      <c r="G50" s="657"/>
      <c r="H50" s="93">
        <f t="shared" si="1"/>
      </c>
      <c r="I50" s="94">
        <f t="shared" si="4"/>
      </c>
      <c r="J50" s="84"/>
      <c r="K50" s="90"/>
      <c r="L50" s="39"/>
      <c r="M50" s="329"/>
      <c r="N50" s="39"/>
      <c r="O50" s="39"/>
      <c r="P50" s="39"/>
      <c r="Q50" s="371">
        <f t="shared" si="5"/>
        <v>11</v>
      </c>
      <c r="R50" s="370">
        <f t="shared" si="2"/>
        <v>11</v>
      </c>
      <c r="S50" s="370">
        <f>LARGE($R$40:$R$52,ROWS(R$40:R50))</f>
        <v>4</v>
      </c>
      <c r="T50" s="370">
        <f t="shared" si="6"/>
        <v>30</v>
      </c>
      <c r="U50" s="127">
        <f>-IF(U40=0,0,MIN(ROUND(IF($I$18="Anti Theft - Yes",((SUM($U$40:$U$44,IF(M4="Yes-Required",O30,0)))*2.5%),0),1),500))</f>
        <v>0</v>
      </c>
      <c r="V50" s="99">
        <f>IF(U50=0,"",(CONCATENATE("Less: Discount for Anti Theft Devices")))</f>
      </c>
      <c r="W50" s="99"/>
      <c r="X50" s="99"/>
      <c r="Y50" s="127">
        <f>-MIN(ROUND(IF($I$18="Anti Theft - Yes",((SUM($Y$40:$Y$44))*2.5%),0),1),500)</f>
        <v>0</v>
      </c>
      <c r="Z50" s="127">
        <f>-MIN(ROUND(IF($I$18="Anti Theft - Yes",((SUM($Z$40:$Z$44))*2.5%),0),1),500)</f>
        <v>0</v>
      </c>
      <c r="AA50" s="127">
        <f>-MIN(ROUND(IF($I$18="Anti Theft - Yes",((SUM($AA$40:$AA$44))*2.5%),0),1),500)</f>
        <v>0</v>
      </c>
      <c r="AB50" s="127">
        <f>-MIN(ROUND(IF($I$18="Anti Theft - Yes",((SUM($AB$40:$AB$44))*2.5%),0),1),500)</f>
        <v>0</v>
      </c>
      <c r="AC50" s="347"/>
      <c r="AD50" s="42"/>
      <c r="AE50" s="42"/>
      <c r="AF50" s="42"/>
      <c r="AG50" s="42"/>
      <c r="AH50" s="42"/>
      <c r="AI50" s="42"/>
      <c r="AJ50" s="42"/>
    </row>
    <row r="51" spans="1:36" s="43" customFormat="1" ht="18" customHeight="1">
      <c r="A51" s="75"/>
      <c r="B51" s="83"/>
      <c r="C51" s="84"/>
      <c r="D51" s="657">
        <f t="shared" si="3"/>
      </c>
      <c r="E51" s="657"/>
      <c r="F51" s="657"/>
      <c r="G51" s="657"/>
      <c r="H51" s="93">
        <f t="shared" si="1"/>
      </c>
      <c r="I51" s="94">
        <f t="shared" si="4"/>
      </c>
      <c r="J51" s="84"/>
      <c r="K51" s="90"/>
      <c r="L51" s="39"/>
      <c r="M51" s="329"/>
      <c r="N51" s="39"/>
      <c r="O51" s="39"/>
      <c r="P51" s="39"/>
      <c r="Q51" s="371">
        <f t="shared" si="5"/>
        <v>12</v>
      </c>
      <c r="R51" s="370">
        <f t="shared" si="2"/>
        <v>29</v>
      </c>
      <c r="S51" s="370">
        <f>LARGE($R$40:$R$52,ROWS(R$40:R51))</f>
        <v>3</v>
      </c>
      <c r="T51" s="370">
        <f t="shared" si="6"/>
        <v>29</v>
      </c>
      <c r="U51" s="127">
        <f>-ROUND(SUM($U$40:$U$50,-$U$48)*$G$15%,2)</f>
        <v>-4533.9</v>
      </c>
      <c r="V51" s="99" t="str">
        <f>IF(U51=0,"",(CONCATENATE("Less: NCB @ ",G15,"% (Subject to No Claim)")))</f>
        <v>Less: NCB @ 25% (Subject to No Claim)</v>
      </c>
      <c r="W51" s="99"/>
      <c r="X51" s="99"/>
      <c r="Y51" s="127">
        <f>-ROUND(SUM($Y$40:$Y$50,-$Y$48)*$G$15%,2)</f>
        <v>-4533.94</v>
      </c>
      <c r="Z51" s="127">
        <f>-ROUND(SUM($Z$40:$Z$50,-$Z$48)*$G$15%,2)</f>
        <v>-4779.69</v>
      </c>
      <c r="AA51" s="127">
        <f>-ROUND(SUM($AA$40:$AA$50,-$AA$48)*$G$15%,2)</f>
        <v>-3861.69</v>
      </c>
      <c r="AB51" s="127">
        <f>-ROUND(SUM($AB$40:$AB$50,-$AB$48)*$G$15%,2)</f>
        <v>-4107.44</v>
      </c>
      <c r="AC51" s="347"/>
      <c r="AD51" s="42"/>
      <c r="AE51" s="42"/>
      <c r="AF51" s="42"/>
      <c r="AG51" s="42"/>
      <c r="AH51" s="42"/>
      <c r="AI51" s="42"/>
      <c r="AJ51" s="42"/>
    </row>
    <row r="52" spans="1:36" s="43" customFormat="1" ht="18" customHeight="1">
      <c r="A52" s="75"/>
      <c r="B52" s="83"/>
      <c r="C52" s="84"/>
      <c r="D52" s="657">
        <f t="shared" si="3"/>
      </c>
      <c r="E52" s="657"/>
      <c r="F52" s="657"/>
      <c r="G52" s="657"/>
      <c r="H52" s="93">
        <f t="shared" si="1"/>
      </c>
      <c r="I52" s="94">
        <f t="shared" si="4"/>
      </c>
      <c r="J52" s="84"/>
      <c r="K52" s="90"/>
      <c r="L52" s="39"/>
      <c r="M52" s="329"/>
      <c r="N52" s="39"/>
      <c r="O52" s="39"/>
      <c r="P52" s="39"/>
      <c r="Q52" s="371">
        <f t="shared" si="5"/>
        <v>13</v>
      </c>
      <c r="R52" s="370">
        <f t="shared" si="2"/>
        <v>28</v>
      </c>
      <c r="S52" s="370">
        <f>LARGE($R$40:$R$52,ROWS(R$40:R52))</f>
        <v>2</v>
      </c>
      <c r="T52" s="370">
        <f t="shared" si="6"/>
        <v>28</v>
      </c>
      <c r="U52" s="127">
        <f>IF(U40=0,0,IF($M$4="Yes-Required",$O$41,0))</f>
        <v>1276</v>
      </c>
      <c r="V52" s="99" t="str">
        <f>IF(U52=0,"",(CONCATENATE("Add: Engine Protect Cover (EPC)")))</f>
        <v>Add: Engine Protect Cover (EPC)</v>
      </c>
      <c r="W52" s="99"/>
      <c r="X52" s="99"/>
      <c r="Y52" s="127"/>
      <c r="Z52" s="127"/>
      <c r="AA52" s="127"/>
      <c r="AB52" s="127"/>
      <c r="AC52" s="347"/>
      <c r="AD52" s="42"/>
      <c r="AE52" s="42"/>
      <c r="AF52" s="42"/>
      <c r="AG52" s="42"/>
      <c r="AH52" s="42"/>
      <c r="AI52" s="42"/>
      <c r="AJ52" s="42"/>
    </row>
    <row r="53" spans="1:36" s="43" customFormat="1" ht="18" customHeight="1">
      <c r="A53" s="75"/>
      <c r="B53" s="83"/>
      <c r="C53" s="84"/>
      <c r="D53" s="658" t="str">
        <f>IF(I53=200,"Net Own Damage Premium (Min Own Damage (OD) Prem R/o)","Net Own Damage (OD) Premium")</f>
        <v>Net Own Damage (OD) Premium</v>
      </c>
      <c r="E53" s="658"/>
      <c r="F53" s="658"/>
      <c r="G53" s="316"/>
      <c r="H53" s="101" t="s">
        <v>106</v>
      </c>
      <c r="I53" s="102">
        <f>U53</f>
        <v>18518</v>
      </c>
      <c r="J53" s="84"/>
      <c r="K53" s="90"/>
      <c r="L53" s="39"/>
      <c r="M53" s="329"/>
      <c r="N53" s="39"/>
      <c r="O53" s="39"/>
      <c r="P53" s="39"/>
      <c r="Q53" s="371"/>
      <c r="R53" s="370"/>
      <c r="S53" s="370"/>
      <c r="T53" s="370"/>
      <c r="U53" s="127">
        <f>ROUND(IF($U$40=0,0,IF($D$11=0,0,(MAX((SUM($U$40:$U$52)),200)))),0)</f>
        <v>18518</v>
      </c>
      <c r="V53" s="128"/>
      <c r="W53" s="86"/>
      <c r="X53" s="86"/>
      <c r="Y53" s="127">
        <f>ROUND(IF($Y$40=0,0,IF($D$11=0,0,(MAX((SUM($Y$40:$Y$52)),200)))),0)</f>
        <v>17242</v>
      </c>
      <c r="Z53" s="127">
        <f>ROUND(IF($Z$40=0,0,IF($D$11=0,0,(MAX((SUM($Z$40:$Z$52)),200)))),0)</f>
        <v>14339</v>
      </c>
      <c r="AA53" s="127">
        <f>ROUND(IF($AA$40=0,0,IF($D$11=0,0,(MAX((SUM($AA$40:$AA$52)),200)))),0)</f>
        <v>15225</v>
      </c>
      <c r="AB53" s="127">
        <f>ROUND(IF($AB$40=0,0,IF($D$11=0,0,(MAX((SUM($AB$40:$AB$52)),200)))),0)</f>
        <v>12322</v>
      </c>
      <c r="AC53" s="347"/>
      <c r="AD53" s="42"/>
      <c r="AE53" s="42"/>
      <c r="AF53" s="42"/>
      <c r="AG53" s="42"/>
      <c r="AH53" s="42"/>
      <c r="AI53" s="42"/>
      <c r="AJ53" s="42"/>
    </row>
    <row r="54" spans="1:36" s="43" customFormat="1" ht="18" customHeight="1">
      <c r="A54" s="75"/>
      <c r="B54" s="83"/>
      <c r="C54" s="84"/>
      <c r="D54" s="657" t="str">
        <f aca="true" t="shared" si="7" ref="D54:D59">IF(S54&lt;24,"",(VLOOKUP(S54,$T$54:$V$59,3,0)))</f>
        <v>Basic Third Party Premium</v>
      </c>
      <c r="E54" s="657"/>
      <c r="F54" s="657"/>
      <c r="G54" s="657"/>
      <c r="H54" s="93" t="str">
        <f aca="true" t="shared" si="8" ref="H54:H59">IF(D54="","",":")</f>
        <v>:</v>
      </c>
      <c r="I54" s="94">
        <f aca="true" t="shared" si="9" ref="I54:I59">IF(S54&lt;24,"",VLOOKUP(S54,$T$54:$V$59,2,0))</f>
        <v>2863</v>
      </c>
      <c r="J54" s="84"/>
      <c r="K54" s="90"/>
      <c r="L54" s="39"/>
      <c r="M54" s="329"/>
      <c r="N54" s="39"/>
      <c r="O54" s="39"/>
      <c r="P54" s="39"/>
      <c r="Q54" s="371">
        <v>1</v>
      </c>
      <c r="R54" s="370">
        <f aca="true" t="shared" si="10" ref="R54:R59">IF(U54=0,Q54,T54)</f>
        <v>40</v>
      </c>
      <c r="S54" s="370">
        <f>LARGE($R$54:$R$59,ROWS(R$54:R54))</f>
        <v>40</v>
      </c>
      <c r="T54" s="370">
        <v>40</v>
      </c>
      <c r="U54" s="127">
        <f>$T$17</f>
        <v>2863</v>
      </c>
      <c r="V54" s="99" t="s">
        <v>116</v>
      </c>
      <c r="W54" s="86"/>
      <c r="X54" s="86"/>
      <c r="Y54" s="127">
        <f>$T$17</f>
        <v>2863</v>
      </c>
      <c r="Z54" s="127">
        <f>$T$17</f>
        <v>2863</v>
      </c>
      <c r="AA54" s="127">
        <f>$T$17</f>
        <v>2863</v>
      </c>
      <c r="AB54" s="127">
        <f>$T$17</f>
        <v>2863</v>
      </c>
      <c r="AC54" s="347">
        <f aca="true" t="shared" si="11" ref="AC54:AC59">U54</f>
        <v>2863</v>
      </c>
      <c r="AD54" s="42"/>
      <c r="AE54" s="42"/>
      <c r="AF54" s="42"/>
      <c r="AG54" s="42"/>
      <c r="AH54" s="42"/>
      <c r="AI54" s="42"/>
      <c r="AJ54" s="42"/>
    </row>
    <row r="55" spans="1:36" s="43" customFormat="1" ht="18" customHeight="1">
      <c r="A55" s="75"/>
      <c r="B55" s="83"/>
      <c r="C55" s="84"/>
      <c r="D55" s="657" t="str">
        <f t="shared" si="7"/>
        <v>Owner Driver Compulsory PA @ 15,00,000</v>
      </c>
      <c r="E55" s="657"/>
      <c r="F55" s="657"/>
      <c r="G55" s="657"/>
      <c r="H55" s="93" t="str">
        <f t="shared" si="8"/>
        <v>:</v>
      </c>
      <c r="I55" s="94">
        <f t="shared" si="9"/>
        <v>320</v>
      </c>
      <c r="J55" s="84"/>
      <c r="K55" s="90"/>
      <c r="L55" s="110"/>
      <c r="M55" s="329"/>
      <c r="N55" s="110"/>
      <c r="O55" s="110"/>
      <c r="P55" s="39"/>
      <c r="Q55" s="371">
        <f>Q54+1</f>
        <v>2</v>
      </c>
      <c r="R55" s="370">
        <f t="shared" si="10"/>
        <v>39</v>
      </c>
      <c r="S55" s="370">
        <f>LARGE($R$54:$R$59,ROWS(R$54:R55))</f>
        <v>39</v>
      </c>
      <c r="T55" s="370">
        <f>T54-1</f>
        <v>39</v>
      </c>
      <c r="U55" s="127">
        <f>IF($D$15="No (Deletion)",0,320)</f>
        <v>320</v>
      </c>
      <c r="V55" s="99" t="str">
        <f>IF(U55=0,"","Owner Driver Compulsory PA @ 15,00,000")</f>
        <v>Owner Driver Compulsory PA @ 15,00,000</v>
      </c>
      <c r="W55" s="86"/>
      <c r="X55" s="86"/>
      <c r="Y55" s="127">
        <f>IF($D$15="No (Deletion)",0,320)</f>
        <v>320</v>
      </c>
      <c r="Z55" s="127">
        <f>IF($D$15="No (Deletion)",0,320)</f>
        <v>320</v>
      </c>
      <c r="AA55" s="127">
        <f>IF($D$15="No (Deletion)",0,320)</f>
        <v>320</v>
      </c>
      <c r="AB55" s="127">
        <f>IF($D$15="No (Deletion)",0,320)</f>
        <v>320</v>
      </c>
      <c r="AC55" s="347">
        <f t="shared" si="11"/>
        <v>320</v>
      </c>
      <c r="AD55" s="42"/>
      <c r="AE55" s="42"/>
      <c r="AF55" s="42"/>
      <c r="AG55" s="42"/>
      <c r="AH55" s="42"/>
      <c r="AI55" s="42"/>
      <c r="AJ55" s="42"/>
    </row>
    <row r="56" spans="1:36" s="43" customFormat="1" ht="18" customHeight="1">
      <c r="A56" s="75"/>
      <c r="B56" s="83"/>
      <c r="C56" s="84"/>
      <c r="D56" s="657" t="str">
        <f t="shared" si="7"/>
        <v>Add: Legal Liability to Paid Driver</v>
      </c>
      <c r="E56" s="657"/>
      <c r="F56" s="657"/>
      <c r="G56" s="657"/>
      <c r="H56" s="93" t="str">
        <f t="shared" si="8"/>
        <v>:</v>
      </c>
      <c r="I56" s="94">
        <f t="shared" si="9"/>
        <v>50</v>
      </c>
      <c r="J56" s="84"/>
      <c r="K56" s="90"/>
      <c r="L56" s="110"/>
      <c r="M56" s="329"/>
      <c r="N56" s="110"/>
      <c r="O56" s="110"/>
      <c r="P56" s="39"/>
      <c r="Q56" s="371">
        <f>Q55+1</f>
        <v>3</v>
      </c>
      <c r="R56" s="370">
        <f t="shared" si="10"/>
        <v>3</v>
      </c>
      <c r="S56" s="370">
        <f>LARGE($R$54:$R$59,ROWS(R$54:R56))</f>
        <v>37</v>
      </c>
      <c r="T56" s="370">
        <f>T55-1</f>
        <v>38</v>
      </c>
      <c r="U56" s="127">
        <f>(($F$15/1000*0.5)*$E$15)</f>
        <v>0</v>
      </c>
      <c r="V56" s="99">
        <f>IF(U56=0,"",CONCATENATE("Add: Un-Named PA - Occupants: ",F15," Each X ",E15))</f>
      </c>
      <c r="W56" s="86"/>
      <c r="X56" s="86"/>
      <c r="Y56" s="127">
        <f>(($F$15/1000*0.5)*$E$15)</f>
        <v>0</v>
      </c>
      <c r="Z56" s="127">
        <f>(($F$15/1000*0.5)*$E$15)</f>
        <v>0</v>
      </c>
      <c r="AA56" s="127">
        <f>(($F$15/1000*0.5)*$E$15)</f>
        <v>0</v>
      </c>
      <c r="AB56" s="127">
        <f>(($F$15/1000*0.5)*$E$15)</f>
        <v>0</v>
      </c>
      <c r="AC56" s="347">
        <f t="shared" si="11"/>
        <v>0</v>
      </c>
      <c r="AD56" s="42"/>
      <c r="AE56" s="42"/>
      <c r="AF56" s="42"/>
      <c r="AG56" s="42"/>
      <c r="AH56" s="42"/>
      <c r="AI56" s="42"/>
      <c r="AJ56" s="42"/>
    </row>
    <row r="57" spans="1:36" s="43" customFormat="1" ht="18" customHeight="1">
      <c r="A57" s="75"/>
      <c r="B57" s="83"/>
      <c r="C57" s="84"/>
      <c r="D57" s="657">
        <f t="shared" si="7"/>
      </c>
      <c r="E57" s="657"/>
      <c r="F57" s="657"/>
      <c r="G57" s="657"/>
      <c r="H57" s="93">
        <f t="shared" si="8"/>
      </c>
      <c r="I57" s="94">
        <f t="shared" si="9"/>
      </c>
      <c r="J57" s="84"/>
      <c r="K57" s="90"/>
      <c r="L57" s="110"/>
      <c r="M57" s="329"/>
      <c r="N57" s="110"/>
      <c r="O57" s="110"/>
      <c r="P57" s="39"/>
      <c r="Q57" s="371">
        <f>Q56+1</f>
        <v>4</v>
      </c>
      <c r="R57" s="370">
        <f t="shared" si="10"/>
        <v>37</v>
      </c>
      <c r="S57" s="370">
        <f>LARGE($R$54:$R$59,ROWS(R$54:R57))</f>
        <v>6</v>
      </c>
      <c r="T57" s="370">
        <f>T56-1</f>
        <v>37</v>
      </c>
      <c r="U57" s="127">
        <f>IF($E$18="Yes",50,0)</f>
        <v>50</v>
      </c>
      <c r="V57" s="99" t="str">
        <f>IF(U57=0,"",CONCATENATE("Add: Legal Liability to Paid Driver"))</f>
        <v>Add: Legal Liability to Paid Driver</v>
      </c>
      <c r="W57" s="86"/>
      <c r="X57" s="86"/>
      <c r="Y57" s="127">
        <f>IF($E$18="Yes",50,0)</f>
        <v>50</v>
      </c>
      <c r="Z57" s="127">
        <f>IF($E$18="Yes",50,0)</f>
        <v>50</v>
      </c>
      <c r="AA57" s="127">
        <f>IF($E$18="Yes",50,0)</f>
        <v>50</v>
      </c>
      <c r="AB57" s="127">
        <f>IF($E$18="Yes",50,0)</f>
        <v>50</v>
      </c>
      <c r="AC57" s="347">
        <f t="shared" si="11"/>
        <v>50</v>
      </c>
      <c r="AD57" s="42"/>
      <c r="AE57" s="42"/>
      <c r="AF57" s="42"/>
      <c r="AG57" s="42"/>
      <c r="AH57" s="42"/>
      <c r="AI57" s="42"/>
      <c r="AJ57" s="42"/>
    </row>
    <row r="58" spans="1:36" s="43" customFormat="1" ht="18" customHeight="1">
      <c r="A58" s="75"/>
      <c r="B58" s="83"/>
      <c r="C58" s="84"/>
      <c r="D58" s="657">
        <f t="shared" si="7"/>
      </c>
      <c r="E58" s="657"/>
      <c r="F58" s="657"/>
      <c r="G58" s="657"/>
      <c r="H58" s="93">
        <f t="shared" si="8"/>
      </c>
      <c r="I58" s="94">
        <f t="shared" si="9"/>
      </c>
      <c r="J58" s="84"/>
      <c r="K58" s="90"/>
      <c r="L58" s="110"/>
      <c r="M58" s="329"/>
      <c r="N58" s="110"/>
      <c r="O58" s="110"/>
      <c r="P58" s="39"/>
      <c r="Q58" s="371">
        <f>Q57+1</f>
        <v>5</v>
      </c>
      <c r="R58" s="370">
        <f t="shared" si="10"/>
        <v>5</v>
      </c>
      <c r="S58" s="370">
        <f>LARGE($R$54:$R$59,ROWS(R$54:R58))</f>
        <v>5</v>
      </c>
      <c r="T58" s="370">
        <f>T57-1</f>
        <v>36</v>
      </c>
      <c r="U58" s="127">
        <f>IF($G$11="Yes",60,0)</f>
        <v>0</v>
      </c>
      <c r="V58" s="99">
        <f>IF(U58=0,"","Add: Legal Liability to CNG / LPG Kit")</f>
      </c>
      <c r="W58" s="86"/>
      <c r="X58" s="86"/>
      <c r="Y58" s="127">
        <f>IF($G$11="Yes",60,0)</f>
        <v>0</v>
      </c>
      <c r="Z58" s="127">
        <f>IF($G$11="Yes",60,0)</f>
        <v>0</v>
      </c>
      <c r="AA58" s="127">
        <f>IF($G$11="Yes",60,0)</f>
        <v>0</v>
      </c>
      <c r="AB58" s="127">
        <f>IF($G$11="Yes",60,0)</f>
        <v>0</v>
      </c>
      <c r="AC58" s="347">
        <f t="shared" si="11"/>
        <v>0</v>
      </c>
      <c r="AD58" s="42"/>
      <c r="AE58" s="42"/>
      <c r="AF58" s="42"/>
      <c r="AG58" s="42"/>
      <c r="AH58" s="42"/>
      <c r="AI58" s="42"/>
      <c r="AJ58" s="42"/>
    </row>
    <row r="59" spans="1:36" s="43" customFormat="1" ht="18" customHeight="1">
      <c r="A59" s="75"/>
      <c r="B59" s="83"/>
      <c r="C59" s="84"/>
      <c r="D59" s="657">
        <f t="shared" si="7"/>
      </c>
      <c r="E59" s="657"/>
      <c r="F59" s="657"/>
      <c r="G59" s="657"/>
      <c r="H59" s="93">
        <f t="shared" si="8"/>
      </c>
      <c r="I59" s="94">
        <f t="shared" si="9"/>
      </c>
      <c r="J59" s="84"/>
      <c r="K59" s="90"/>
      <c r="L59" s="110"/>
      <c r="M59" s="167"/>
      <c r="N59" s="110"/>
      <c r="O59" s="110"/>
      <c r="P59" s="39"/>
      <c r="Q59" s="371">
        <f>Q58+1</f>
        <v>6</v>
      </c>
      <c r="R59" s="370">
        <f t="shared" si="10"/>
        <v>6</v>
      </c>
      <c r="S59" s="370">
        <f>LARGE($R$54:$R$59,ROWS(R$54:R59))</f>
        <v>3</v>
      </c>
      <c r="T59" s="370">
        <f>T58-1</f>
        <v>35</v>
      </c>
      <c r="U59" s="127">
        <f>-IF($G$18="Limited",100,0)</f>
        <v>0</v>
      </c>
      <c r="V59" s="99">
        <f>IF(U59=0,"","Less: Prem on Limiting TPPD upto Rs.6000/-")</f>
      </c>
      <c r="W59" s="86"/>
      <c r="X59" s="86"/>
      <c r="Y59" s="127">
        <f>-IF($G$18="Limited",100,0)</f>
        <v>0</v>
      </c>
      <c r="Z59" s="127">
        <f>-IF($G$18="Limited",100,0)</f>
        <v>0</v>
      </c>
      <c r="AA59" s="127">
        <f>-IF($G$18="Limited",100,0)</f>
        <v>0</v>
      </c>
      <c r="AB59" s="127">
        <f>-IF($G$18="Limited",100,0)</f>
        <v>0</v>
      </c>
      <c r="AC59" s="347">
        <f t="shared" si="11"/>
        <v>0</v>
      </c>
      <c r="AD59" s="42"/>
      <c r="AE59" s="42"/>
      <c r="AF59" s="42"/>
      <c r="AG59" s="42"/>
      <c r="AH59" s="42"/>
      <c r="AI59" s="42"/>
      <c r="AJ59" s="42"/>
    </row>
    <row r="60" spans="1:36" s="43" customFormat="1" ht="18" customHeight="1">
      <c r="A60" s="75"/>
      <c r="B60" s="83"/>
      <c r="C60" s="84"/>
      <c r="D60" s="658" t="s">
        <v>379</v>
      </c>
      <c r="E60" s="658"/>
      <c r="F60" s="658"/>
      <c r="G60" s="658"/>
      <c r="H60" s="101" t="s">
        <v>106</v>
      </c>
      <c r="I60" s="102">
        <f>U60</f>
        <v>3233</v>
      </c>
      <c r="J60" s="84"/>
      <c r="K60" s="90"/>
      <c r="L60" s="110"/>
      <c r="M60" s="167"/>
      <c r="N60" s="110"/>
      <c r="O60" s="110"/>
      <c r="P60" s="39"/>
      <c r="Q60" s="103"/>
      <c r="R60" s="39"/>
      <c r="S60" s="39"/>
      <c r="T60" s="74"/>
      <c r="U60" s="127">
        <f>ROUND(SUM($U$54:$U$59),0)</f>
        <v>3233</v>
      </c>
      <c r="V60" s="86"/>
      <c r="W60" s="86"/>
      <c r="X60" s="86"/>
      <c r="Y60" s="127">
        <f>ROUND(SUM($Y$54:$Y$59),0)</f>
        <v>3233</v>
      </c>
      <c r="Z60" s="127">
        <f>ROUND(SUM($Z$54:$Z$59),0)</f>
        <v>3233</v>
      </c>
      <c r="AA60" s="127">
        <f>ROUND(SUM($AA$54:$AA$59),0)</f>
        <v>3233</v>
      </c>
      <c r="AB60" s="127">
        <f>ROUND(SUM($AB$54:$AB$59),0)</f>
        <v>3233</v>
      </c>
      <c r="AC60" s="347">
        <f>ROUND(SUM($AC$54:$AC$59),0)</f>
        <v>3233</v>
      </c>
      <c r="AD60" s="42"/>
      <c r="AE60" s="42"/>
      <c r="AF60" s="42"/>
      <c r="AG60" s="42"/>
      <c r="AH60" s="42"/>
      <c r="AI60" s="42"/>
      <c r="AJ60" s="42"/>
    </row>
    <row r="61" spans="1:36" s="43" customFormat="1" ht="18" customHeight="1">
      <c r="A61" s="75"/>
      <c r="B61" s="83"/>
      <c r="C61" s="84"/>
      <c r="D61" s="662" t="s">
        <v>380</v>
      </c>
      <c r="E61" s="662"/>
      <c r="F61" s="662"/>
      <c r="G61" s="662"/>
      <c r="H61" s="93" t="s">
        <v>106</v>
      </c>
      <c r="I61" s="106">
        <f>SUM(I60,I53)</f>
        <v>21751</v>
      </c>
      <c r="J61" s="84"/>
      <c r="K61" s="90"/>
      <c r="L61" s="110"/>
      <c r="M61" s="167"/>
      <c r="N61" s="110"/>
      <c r="O61" s="110"/>
      <c r="P61" s="39"/>
      <c r="Q61" s="103"/>
      <c r="R61" s="39"/>
      <c r="S61" s="39"/>
      <c r="T61" s="74"/>
      <c r="U61" s="127">
        <f>SUM($U$60,$U$53)</f>
        <v>21751</v>
      </c>
      <c r="V61" s="129"/>
      <c r="W61" s="86"/>
      <c r="X61" s="86"/>
      <c r="Y61" s="127">
        <f>IF(Y45=0,0,IF(Y48=0,0,SUM($Y$60,$Y$53)))</f>
        <v>20475</v>
      </c>
      <c r="Z61" s="127">
        <f>IF(Z45=0,0,SUM($Z$60,$Z$53))</f>
        <v>17572</v>
      </c>
      <c r="AA61" s="127">
        <f>IF(AA48=0,0,SUM($AA$60,$AA$53))</f>
        <v>18458</v>
      </c>
      <c r="AB61" s="127">
        <f>IF(AB53=0,0,SUM($AB$60,$AB$53))</f>
        <v>15555</v>
      </c>
      <c r="AC61" s="347">
        <f>SUM($AC$60,$AC$53)</f>
        <v>3233</v>
      </c>
      <c r="AD61" s="42"/>
      <c r="AE61" s="42"/>
      <c r="AF61" s="42"/>
      <c r="AG61" s="42"/>
      <c r="AH61" s="42"/>
      <c r="AI61" s="42"/>
      <c r="AJ61" s="42"/>
    </row>
    <row r="62" spans="1:36" s="43" customFormat="1" ht="18" customHeight="1">
      <c r="A62" s="75"/>
      <c r="B62" s="83"/>
      <c r="C62" s="84"/>
      <c r="D62" s="662" t="str">
        <f>CONCATENATE("Add: GST (Goods and Services Tax) @ ",Sign!$F$15,"%")</f>
        <v>Add: GST (Goods and Services Tax) @ 18%</v>
      </c>
      <c r="E62" s="662"/>
      <c r="F62" s="662"/>
      <c r="G62" s="662"/>
      <c r="H62" s="93" t="s">
        <v>106</v>
      </c>
      <c r="I62" s="106">
        <f>U62</f>
        <v>3916</v>
      </c>
      <c r="J62" s="84"/>
      <c r="K62" s="90"/>
      <c r="L62" s="110"/>
      <c r="M62" s="167"/>
      <c r="N62" s="110"/>
      <c r="O62" s="110"/>
      <c r="P62" s="39"/>
      <c r="Q62" s="39"/>
      <c r="R62" s="39"/>
      <c r="S62" s="39"/>
      <c r="T62" s="74"/>
      <c r="U62" s="127">
        <f>SUM($U$66:$U$68)</f>
        <v>3916</v>
      </c>
      <c r="V62" s="129"/>
      <c r="W62" s="86"/>
      <c r="X62" s="86"/>
      <c r="Y62" s="127">
        <f>SUM($Y$66:$Y$68)</f>
        <v>3686</v>
      </c>
      <c r="Z62" s="127">
        <f>SUM($Z$66:$Z$68)</f>
        <v>3162</v>
      </c>
      <c r="AA62" s="127">
        <f>SUM($AA$66:$AA$68)</f>
        <v>3322</v>
      </c>
      <c r="AB62" s="127">
        <f>SUM($AB$66:$AB$68)</f>
        <v>2800</v>
      </c>
      <c r="AC62" s="347">
        <f>SUM($AC$66:$AC$68)</f>
        <v>582</v>
      </c>
      <c r="AD62" s="42"/>
      <c r="AE62" s="42"/>
      <c r="AF62" s="42"/>
      <c r="AG62" s="42"/>
      <c r="AH62" s="42"/>
      <c r="AI62" s="42"/>
      <c r="AJ62" s="42"/>
    </row>
    <row r="63" spans="1:36" s="43" customFormat="1" ht="18" customHeight="1">
      <c r="A63" s="75"/>
      <c r="B63" s="83"/>
      <c r="C63" s="84"/>
      <c r="D63" s="658" t="s">
        <v>378</v>
      </c>
      <c r="E63" s="658"/>
      <c r="F63" s="658"/>
      <c r="G63" s="317"/>
      <c r="H63" s="101" t="s">
        <v>106</v>
      </c>
      <c r="I63" s="102">
        <f>SUM(I61:I62)</f>
        <v>25667</v>
      </c>
      <c r="J63" s="84"/>
      <c r="K63" s="90"/>
      <c r="L63" s="110"/>
      <c r="M63" s="167"/>
      <c r="N63" s="110"/>
      <c r="O63" s="110"/>
      <c r="P63" s="39"/>
      <c r="Q63" s="74"/>
      <c r="R63" s="39"/>
      <c r="S63" s="39"/>
      <c r="T63" s="74"/>
      <c r="U63" s="130">
        <f>SUM($U$61:$U$62)</f>
        <v>25667</v>
      </c>
      <c r="V63" s="129"/>
      <c r="W63" s="131"/>
      <c r="X63" s="131"/>
      <c r="Y63" s="130">
        <f>SUM($Y$61:$Y$62)</f>
        <v>24161</v>
      </c>
      <c r="Z63" s="130">
        <f>SUM($Z$61:$Z$62)</f>
        <v>20734</v>
      </c>
      <c r="AA63" s="130">
        <f>SUM($AA$61:$AA$62)</f>
        <v>21780</v>
      </c>
      <c r="AB63" s="130">
        <f>SUM($AB$61:$AB$62)</f>
        <v>18355</v>
      </c>
      <c r="AC63" s="349">
        <f>SUM($AC$61:$AC$62)</f>
        <v>3815</v>
      </c>
      <c r="AD63" s="42"/>
      <c r="AE63" s="42"/>
      <c r="AF63" s="42"/>
      <c r="AG63" s="42"/>
      <c r="AH63" s="42"/>
      <c r="AI63" s="42"/>
      <c r="AJ63" s="42"/>
    </row>
    <row r="64" spans="1:36" s="43" customFormat="1" ht="7.5" customHeight="1">
      <c r="A64" s="79"/>
      <c r="B64" s="109"/>
      <c r="C64" s="84"/>
      <c r="D64" s="84"/>
      <c r="E64" s="84"/>
      <c r="F64" s="84"/>
      <c r="G64" s="84"/>
      <c r="H64" s="84"/>
      <c r="I64" s="84"/>
      <c r="J64" s="84"/>
      <c r="K64" s="90"/>
      <c r="L64" s="110"/>
      <c r="M64" s="167"/>
      <c r="N64" s="110"/>
      <c r="O64" s="110"/>
      <c r="P64" s="39"/>
      <c r="Q64" s="74"/>
      <c r="R64" s="74"/>
      <c r="S64" s="74"/>
      <c r="T64" s="74"/>
      <c r="U64" s="74"/>
      <c r="V64" s="131"/>
      <c r="W64" s="131"/>
      <c r="X64" s="131"/>
      <c r="Y64" s="131"/>
      <c r="Z64" s="131"/>
      <c r="AA64" s="131"/>
      <c r="AB64" s="131"/>
      <c r="AC64" s="131"/>
      <c r="AD64" s="131"/>
      <c r="AE64" s="42"/>
      <c r="AF64" s="42"/>
      <c r="AG64" s="42"/>
      <c r="AH64" s="42"/>
      <c r="AI64" s="42"/>
      <c r="AJ64" s="42"/>
    </row>
    <row r="65" spans="1:36" s="43" customFormat="1" ht="3" customHeight="1">
      <c r="A65" s="79"/>
      <c r="B65" s="659"/>
      <c r="C65" s="659"/>
      <c r="D65" s="659"/>
      <c r="E65" s="659"/>
      <c r="F65" s="659"/>
      <c r="G65" s="659"/>
      <c r="H65" s="659"/>
      <c r="I65" s="659"/>
      <c r="J65" s="659"/>
      <c r="K65" s="90"/>
      <c r="L65" s="110"/>
      <c r="M65" s="167"/>
      <c r="N65" s="110"/>
      <c r="O65" s="110"/>
      <c r="P65" s="39"/>
      <c r="Q65" s="74"/>
      <c r="R65" s="74"/>
      <c r="S65" s="74"/>
      <c r="T65" s="74"/>
      <c r="U65" s="74"/>
      <c r="V65" s="111"/>
      <c r="W65" s="111"/>
      <c r="X65" s="111"/>
      <c r="Y65" s="111"/>
      <c r="Z65" s="111"/>
      <c r="AA65" s="111"/>
      <c r="AB65" s="111"/>
      <c r="AC65" s="111"/>
      <c r="AD65" s="111"/>
      <c r="AE65" s="42"/>
      <c r="AF65" s="42"/>
      <c r="AG65" s="42"/>
      <c r="AH65" s="42"/>
      <c r="AI65" s="42"/>
      <c r="AJ65" s="42"/>
    </row>
    <row r="66" spans="1:36" s="43" customFormat="1" ht="15">
      <c r="A66" s="79"/>
      <c r="B66" s="693" t="str">
        <f>Sign!A16</f>
        <v>G. Lingachari, AO (Mktg), DO-VI, 98856 32211, 040 2340 3147, lingachari@orientalinsurance.co.in</v>
      </c>
      <c r="C66" s="693"/>
      <c r="D66" s="693"/>
      <c r="E66" s="693"/>
      <c r="F66" s="693"/>
      <c r="G66" s="693"/>
      <c r="H66" s="693"/>
      <c r="I66" s="693"/>
      <c r="J66" s="663"/>
      <c r="K66" s="90"/>
      <c r="L66" s="110"/>
      <c r="M66" s="167"/>
      <c r="N66" s="110"/>
      <c r="O66" s="110"/>
      <c r="P66" s="39"/>
      <c r="Q66" s="74"/>
      <c r="R66" s="74"/>
      <c r="S66" s="74"/>
      <c r="T66" s="350" t="s">
        <v>312</v>
      </c>
      <c r="U66" s="346">
        <f>ROUND($U$61*Sign!$E$12%,0)</f>
        <v>1958</v>
      </c>
      <c r="V66" s="351"/>
      <c r="W66" s="351"/>
      <c r="X66" s="351"/>
      <c r="Y66" s="346">
        <f>ROUND($Y$61*Sign!$E$12%,0)</f>
        <v>1843</v>
      </c>
      <c r="Z66" s="346">
        <f>ROUND($Z$61*Sign!$E$12%,0)</f>
        <v>1581</v>
      </c>
      <c r="AA66" s="346">
        <f>ROUND($AA$61*Sign!$E$12%,0)</f>
        <v>1661</v>
      </c>
      <c r="AB66" s="346">
        <f>ROUND($AB$61*Sign!$E$12%,0)</f>
        <v>1400</v>
      </c>
      <c r="AC66" s="346">
        <f>ROUND($AC$61*Sign!$E$12%,0)</f>
        <v>291</v>
      </c>
      <c r="AD66" s="42"/>
      <c r="AE66" s="42"/>
      <c r="AF66" s="42"/>
      <c r="AG66" s="42"/>
      <c r="AH66" s="42"/>
      <c r="AI66" s="42"/>
      <c r="AJ66" s="42"/>
    </row>
    <row r="67" spans="1:36" s="43" customFormat="1" ht="3" customHeight="1">
      <c r="A67" s="79"/>
      <c r="B67" s="113"/>
      <c r="C67" s="114"/>
      <c r="D67" s="114"/>
      <c r="E67" s="114"/>
      <c r="F67" s="114"/>
      <c r="G67" s="114"/>
      <c r="H67" s="114"/>
      <c r="I67" s="114"/>
      <c r="J67" s="114"/>
      <c r="K67" s="115"/>
      <c r="L67" s="110"/>
      <c r="M67" s="167"/>
      <c r="N67" s="110"/>
      <c r="O67" s="110"/>
      <c r="P67" s="39"/>
      <c r="Q67" s="74"/>
      <c r="R67" s="74"/>
      <c r="S67" s="74"/>
      <c r="T67" s="162"/>
      <c r="U67" s="162"/>
      <c r="V67" s="162"/>
      <c r="W67" s="162"/>
      <c r="X67" s="162"/>
      <c r="Y67" s="162"/>
      <c r="Z67" s="162"/>
      <c r="AA67" s="162"/>
      <c r="AB67" s="162"/>
      <c r="AC67" s="162"/>
      <c r="AD67" s="74"/>
      <c r="AE67" s="42"/>
      <c r="AF67" s="42"/>
      <c r="AG67" s="42"/>
      <c r="AH67" s="42"/>
      <c r="AI67" s="42"/>
      <c r="AJ67" s="42"/>
    </row>
    <row r="68" spans="1:36" ht="9" customHeight="1">
      <c r="A68" s="79"/>
      <c r="B68" s="79"/>
      <c r="C68" s="79"/>
      <c r="D68" s="79"/>
      <c r="E68" s="79"/>
      <c r="F68" s="79"/>
      <c r="G68" s="79"/>
      <c r="H68" s="79"/>
      <c r="I68" s="79"/>
      <c r="J68" s="79"/>
      <c r="K68" s="116"/>
      <c r="L68" s="110"/>
      <c r="M68" s="167"/>
      <c r="N68" s="110"/>
      <c r="O68" s="110"/>
      <c r="P68" s="39"/>
      <c r="Q68" s="74"/>
      <c r="R68" s="74"/>
      <c r="S68" s="74"/>
      <c r="T68" s="350" t="s">
        <v>313</v>
      </c>
      <c r="U68" s="346">
        <f>ROUND($U$61*Sign!$E$13%,0)</f>
        <v>1958</v>
      </c>
      <c r="V68" s="352"/>
      <c r="W68" s="352"/>
      <c r="X68" s="352"/>
      <c r="Y68" s="346">
        <f>ROUND($Y$61*Sign!$E$13%,0)</f>
        <v>1843</v>
      </c>
      <c r="Z68" s="346">
        <f>ROUND($Z$61*Sign!$E$13%,0)</f>
        <v>1581</v>
      </c>
      <c r="AA68" s="346">
        <f>ROUND($AA$61*Sign!$E$13%,0)</f>
        <v>1661</v>
      </c>
      <c r="AB68" s="346">
        <f>ROUND($AB$61*Sign!$E$13%,0)</f>
        <v>1400</v>
      </c>
      <c r="AC68" s="346">
        <f>ROUND($AC$61*Sign!$E$13%,0)</f>
        <v>291</v>
      </c>
      <c r="AD68" s="77"/>
      <c r="AE68" s="77"/>
      <c r="AF68" s="77"/>
      <c r="AG68" s="42"/>
      <c r="AH68" s="42"/>
      <c r="AI68" s="42"/>
      <c r="AJ68" s="42"/>
    </row>
    <row r="69" spans="13:22" ht="15" customHeight="1" hidden="1">
      <c r="M69" s="392"/>
      <c r="N69" s="392" t="s">
        <v>252</v>
      </c>
      <c r="O69" s="393" t="s">
        <v>254</v>
      </c>
      <c r="Q69" s="394" t="s">
        <v>304</v>
      </c>
      <c r="R69" s="394" t="s">
        <v>272</v>
      </c>
      <c r="S69" s="395" t="s">
        <v>273</v>
      </c>
      <c r="T69" s="396" t="s">
        <v>341</v>
      </c>
      <c r="U69" s="396" t="s">
        <v>274</v>
      </c>
      <c r="V69" s="396" t="s">
        <v>275</v>
      </c>
    </row>
    <row r="70" spans="13:28" ht="15" customHeight="1" hidden="1">
      <c r="M70" s="397"/>
      <c r="N70" s="397" t="s">
        <v>342</v>
      </c>
      <c r="O70" s="397" t="s">
        <v>255</v>
      </c>
      <c r="Q70" s="398">
        <v>1</v>
      </c>
      <c r="R70" s="398" t="s">
        <v>258</v>
      </c>
      <c r="S70" s="398" t="s">
        <v>276</v>
      </c>
      <c r="T70" s="399">
        <v>10</v>
      </c>
      <c r="U70" s="400">
        <v>45</v>
      </c>
      <c r="V70" s="400">
        <v>35</v>
      </c>
      <c r="X70" s="401" t="s">
        <v>276</v>
      </c>
      <c r="Y70" s="326">
        <f>IF(N19="",0,1)</f>
        <v>1</v>
      </c>
      <c r="Z70" s="326">
        <f>IF(N20=Y72,1,IF(N20=Y73,2,IF(N20=Y74,3,0)))</f>
        <v>1</v>
      </c>
      <c r="AA70" s="326" t="str">
        <f>IF(N18="",0,VLOOKUP(N18,N69:O99,2))</f>
        <v>S4</v>
      </c>
      <c r="AB70" s="326">
        <f>IF(Y70=0,0,IF(Z70=0,0,IF(AA70=0,0,1)))</f>
        <v>1</v>
      </c>
    </row>
    <row r="71" spans="13:28" ht="15" customHeight="1" hidden="1">
      <c r="M71" s="397"/>
      <c r="N71" s="397" t="s">
        <v>343</v>
      </c>
      <c r="O71" s="397" t="s">
        <v>255</v>
      </c>
      <c r="Q71" s="398">
        <v>2</v>
      </c>
      <c r="R71" s="398" t="s">
        <v>267</v>
      </c>
      <c r="S71" s="398" t="s">
        <v>276</v>
      </c>
      <c r="T71" s="399">
        <v>10</v>
      </c>
      <c r="U71" s="400">
        <v>45</v>
      </c>
      <c r="V71" s="400">
        <v>35</v>
      </c>
      <c r="X71" s="402" t="s">
        <v>302</v>
      </c>
      <c r="Y71" s="326">
        <f>_xlfn.SUMIFS(Q66:Q587,R66:R587,AA70,S66:S587,N19)</f>
        <v>429</v>
      </c>
      <c r="Z71" s="326">
        <f>VLOOKUP(Y71,Q70:V591,IF(Z70=1,4,IF(Z70=2,5,6)))</f>
        <v>40</v>
      </c>
      <c r="AA71" s="326"/>
      <c r="AB71" s="326"/>
    </row>
    <row r="72" spans="13:28" ht="15" customHeight="1" hidden="1">
      <c r="M72" s="392"/>
      <c r="N72" s="392" t="s">
        <v>344</v>
      </c>
      <c r="O72" s="393" t="s">
        <v>256</v>
      </c>
      <c r="Q72" s="398">
        <v>3</v>
      </c>
      <c r="R72" s="398" t="s">
        <v>271</v>
      </c>
      <c r="S72" s="398" t="s">
        <v>276</v>
      </c>
      <c r="T72" s="399">
        <v>20</v>
      </c>
      <c r="U72" s="400">
        <v>45</v>
      </c>
      <c r="V72" s="400">
        <v>35</v>
      </c>
      <c r="X72" s="401" t="s">
        <v>277</v>
      </c>
      <c r="Y72" s="326" t="s">
        <v>253</v>
      </c>
      <c r="Z72" s="325"/>
      <c r="AA72" s="326"/>
      <c r="AB72" s="326"/>
    </row>
    <row r="73" spans="13:28" ht="15" customHeight="1" hidden="1">
      <c r="M73" s="397"/>
      <c r="N73" s="397" t="s">
        <v>345</v>
      </c>
      <c r="O73" s="397" t="s">
        <v>257</v>
      </c>
      <c r="Q73" s="398">
        <v>4</v>
      </c>
      <c r="R73" s="398" t="s">
        <v>256</v>
      </c>
      <c r="S73" s="398" t="s">
        <v>276</v>
      </c>
      <c r="T73" s="399">
        <v>10</v>
      </c>
      <c r="U73" s="400">
        <v>45</v>
      </c>
      <c r="V73" s="400">
        <v>35</v>
      </c>
      <c r="X73" s="401" t="s">
        <v>278</v>
      </c>
      <c r="Y73" s="326" t="s">
        <v>372</v>
      </c>
      <c r="Z73" s="325"/>
      <c r="AA73" s="325"/>
      <c r="AB73" s="325"/>
    </row>
    <row r="74" spans="13:28" ht="15" customHeight="1" hidden="1">
      <c r="M74" s="397"/>
      <c r="N74" s="397" t="s">
        <v>346</v>
      </c>
      <c r="O74" s="393" t="s">
        <v>258</v>
      </c>
      <c r="Q74" s="398">
        <v>5</v>
      </c>
      <c r="R74" s="398" t="s">
        <v>255</v>
      </c>
      <c r="S74" s="398" t="s">
        <v>276</v>
      </c>
      <c r="T74" s="399">
        <v>10</v>
      </c>
      <c r="U74" s="400">
        <v>45</v>
      </c>
      <c r="V74" s="400">
        <v>35</v>
      </c>
      <c r="X74" s="401" t="s">
        <v>279</v>
      </c>
      <c r="Y74" s="326" t="s">
        <v>308</v>
      </c>
      <c r="Z74" s="325"/>
      <c r="AA74" s="325"/>
      <c r="AB74" s="325"/>
    </row>
    <row r="75" spans="13:24" ht="15" customHeight="1" hidden="1">
      <c r="M75" s="397"/>
      <c r="N75" s="397" t="s">
        <v>347</v>
      </c>
      <c r="O75" s="397" t="s">
        <v>259</v>
      </c>
      <c r="Q75" s="398">
        <v>6</v>
      </c>
      <c r="R75" s="398" t="s">
        <v>265</v>
      </c>
      <c r="S75" s="398" t="s">
        <v>276</v>
      </c>
      <c r="T75" s="399">
        <v>10</v>
      </c>
      <c r="U75" s="400">
        <v>45</v>
      </c>
      <c r="V75" s="400">
        <v>35</v>
      </c>
      <c r="X75" s="401" t="s">
        <v>280</v>
      </c>
    </row>
    <row r="76" spans="13:24" ht="15" customHeight="1" hidden="1">
      <c r="M76" s="393"/>
      <c r="N76" s="393" t="s">
        <v>348</v>
      </c>
      <c r="O76" s="393" t="s">
        <v>260</v>
      </c>
      <c r="Q76" s="398">
        <v>7</v>
      </c>
      <c r="R76" s="398" t="s">
        <v>257</v>
      </c>
      <c r="S76" s="398" t="s">
        <v>276</v>
      </c>
      <c r="T76" s="399">
        <v>10</v>
      </c>
      <c r="U76" s="400">
        <v>45</v>
      </c>
      <c r="V76" s="400">
        <v>35</v>
      </c>
      <c r="X76" s="401" t="s">
        <v>281</v>
      </c>
    </row>
    <row r="77" spans="13:24" ht="15" customHeight="1" hidden="1">
      <c r="M77" s="392"/>
      <c r="N77" s="392" t="s">
        <v>349</v>
      </c>
      <c r="O77" s="393" t="s">
        <v>261</v>
      </c>
      <c r="Q77" s="398">
        <v>8</v>
      </c>
      <c r="R77" s="398" t="s">
        <v>262</v>
      </c>
      <c r="S77" s="398" t="s">
        <v>276</v>
      </c>
      <c r="T77" s="399">
        <v>10</v>
      </c>
      <c r="U77" s="400">
        <v>45</v>
      </c>
      <c r="V77" s="400">
        <v>35</v>
      </c>
      <c r="X77" s="401" t="s">
        <v>282</v>
      </c>
    </row>
    <row r="78" spans="13:24" ht="15" customHeight="1" hidden="1">
      <c r="M78" s="397"/>
      <c r="N78" s="397" t="s">
        <v>350</v>
      </c>
      <c r="O78" s="397" t="s">
        <v>261</v>
      </c>
      <c r="Q78" s="398">
        <v>9</v>
      </c>
      <c r="R78" s="398" t="s">
        <v>270</v>
      </c>
      <c r="S78" s="398" t="s">
        <v>276</v>
      </c>
      <c r="T78" s="399">
        <v>10</v>
      </c>
      <c r="U78" s="400">
        <v>45</v>
      </c>
      <c r="V78" s="400">
        <v>35</v>
      </c>
      <c r="X78" s="401" t="s">
        <v>283</v>
      </c>
    </row>
    <row r="79" spans="13:24" ht="15" customHeight="1" hidden="1">
      <c r="M79" s="397"/>
      <c r="N79" s="397" t="s">
        <v>351</v>
      </c>
      <c r="O79" s="397" t="s">
        <v>262</v>
      </c>
      <c r="Q79" s="398">
        <v>10</v>
      </c>
      <c r="R79" s="398" t="s">
        <v>261</v>
      </c>
      <c r="S79" s="398" t="s">
        <v>276</v>
      </c>
      <c r="T79" s="399">
        <v>10</v>
      </c>
      <c r="U79" s="400">
        <v>45</v>
      </c>
      <c r="V79" s="400">
        <v>35</v>
      </c>
      <c r="X79" s="401" t="s">
        <v>284</v>
      </c>
    </row>
    <row r="80" spans="13:24" ht="15" customHeight="1" hidden="1">
      <c r="M80" s="397"/>
      <c r="N80" s="397" t="s">
        <v>352</v>
      </c>
      <c r="O80" s="397" t="s">
        <v>256</v>
      </c>
      <c r="Q80" s="398">
        <v>11</v>
      </c>
      <c r="R80" s="398" t="s">
        <v>268</v>
      </c>
      <c r="S80" s="398" t="s">
        <v>276</v>
      </c>
      <c r="T80" s="399">
        <v>10</v>
      </c>
      <c r="U80" s="400">
        <v>45</v>
      </c>
      <c r="V80" s="400">
        <v>35</v>
      </c>
      <c r="X80" s="401" t="s">
        <v>285</v>
      </c>
    </row>
    <row r="81" spans="13:24" ht="15" customHeight="1" hidden="1">
      <c r="M81" s="393"/>
      <c r="N81" s="393" t="s">
        <v>353</v>
      </c>
      <c r="O81" s="393" t="s">
        <v>263</v>
      </c>
      <c r="Q81" s="398">
        <v>12</v>
      </c>
      <c r="R81" s="398" t="s">
        <v>269</v>
      </c>
      <c r="S81" s="398" t="s">
        <v>276</v>
      </c>
      <c r="T81" s="399">
        <v>10</v>
      </c>
      <c r="U81" s="400">
        <v>45</v>
      </c>
      <c r="V81" s="400">
        <v>35</v>
      </c>
      <c r="X81" s="401" t="s">
        <v>286</v>
      </c>
    </row>
    <row r="82" spans="13:24" ht="15" customHeight="1" hidden="1">
      <c r="M82" s="393"/>
      <c r="N82" s="393" t="s">
        <v>354</v>
      </c>
      <c r="O82" s="393" t="s">
        <v>264</v>
      </c>
      <c r="Q82" s="398">
        <v>13</v>
      </c>
      <c r="R82" s="398" t="s">
        <v>263</v>
      </c>
      <c r="S82" s="398" t="s">
        <v>276</v>
      </c>
      <c r="T82" s="399">
        <v>10</v>
      </c>
      <c r="U82" s="400">
        <v>45</v>
      </c>
      <c r="V82" s="400">
        <v>35</v>
      </c>
      <c r="X82" s="401" t="s">
        <v>287</v>
      </c>
    </row>
    <row r="83" spans="13:24" ht="15" customHeight="1" hidden="1">
      <c r="M83" s="393"/>
      <c r="N83" s="393" t="s">
        <v>355</v>
      </c>
      <c r="O83" s="393" t="s">
        <v>265</v>
      </c>
      <c r="Q83" s="398">
        <v>14</v>
      </c>
      <c r="R83" s="398" t="s">
        <v>264</v>
      </c>
      <c r="S83" s="398" t="s">
        <v>276</v>
      </c>
      <c r="T83" s="399">
        <v>10</v>
      </c>
      <c r="U83" s="400">
        <v>45</v>
      </c>
      <c r="V83" s="400">
        <v>35</v>
      </c>
      <c r="X83" s="401" t="s">
        <v>288</v>
      </c>
    </row>
    <row r="84" spans="13:24" ht="15" customHeight="1" hidden="1">
      <c r="M84" s="393"/>
      <c r="N84" s="393" t="s">
        <v>356</v>
      </c>
      <c r="O84" s="393" t="s">
        <v>266</v>
      </c>
      <c r="Q84" s="398">
        <v>15</v>
      </c>
      <c r="R84" s="398" t="s">
        <v>254</v>
      </c>
      <c r="S84" s="398" t="s">
        <v>276</v>
      </c>
      <c r="T84" s="399">
        <v>10</v>
      </c>
      <c r="U84" s="400">
        <v>45</v>
      </c>
      <c r="V84" s="400">
        <v>35</v>
      </c>
      <c r="X84" s="401" t="s">
        <v>289</v>
      </c>
    </row>
    <row r="85" spans="13:24" ht="15" customHeight="1" hidden="1">
      <c r="M85" s="397"/>
      <c r="N85" s="397" t="s">
        <v>357</v>
      </c>
      <c r="O85" s="397" t="s">
        <v>255</v>
      </c>
      <c r="Q85" s="398">
        <v>16</v>
      </c>
      <c r="R85" s="398" t="s">
        <v>259</v>
      </c>
      <c r="S85" s="398" t="s">
        <v>276</v>
      </c>
      <c r="T85" s="399">
        <v>10</v>
      </c>
      <c r="U85" s="400">
        <v>45</v>
      </c>
      <c r="V85" s="400">
        <v>35</v>
      </c>
      <c r="X85" s="401" t="s">
        <v>290</v>
      </c>
    </row>
    <row r="86" spans="13:24" ht="15" customHeight="1" hidden="1">
      <c r="M86" s="397"/>
      <c r="N86" s="397" t="s">
        <v>358</v>
      </c>
      <c r="O86" s="397" t="s">
        <v>255</v>
      </c>
      <c r="Q86" s="398">
        <v>17</v>
      </c>
      <c r="R86" s="398" t="s">
        <v>266</v>
      </c>
      <c r="S86" s="398" t="s">
        <v>276</v>
      </c>
      <c r="T86" s="399">
        <v>10</v>
      </c>
      <c r="U86" s="400">
        <v>45</v>
      </c>
      <c r="V86" s="400">
        <v>35</v>
      </c>
      <c r="X86" s="401" t="s">
        <v>291</v>
      </c>
    </row>
    <row r="87" spans="13:24" ht="15" customHeight="1" hidden="1">
      <c r="M87" s="397"/>
      <c r="N87" s="397" t="s">
        <v>359</v>
      </c>
      <c r="O87" s="397" t="s">
        <v>255</v>
      </c>
      <c r="Q87" s="398">
        <v>18</v>
      </c>
      <c r="R87" s="398" t="s">
        <v>260</v>
      </c>
      <c r="S87" s="398" t="s">
        <v>276</v>
      </c>
      <c r="T87" s="399">
        <v>10</v>
      </c>
      <c r="U87" s="400">
        <v>45</v>
      </c>
      <c r="V87" s="400">
        <v>35</v>
      </c>
      <c r="X87" s="401" t="s">
        <v>292</v>
      </c>
    </row>
    <row r="88" spans="13:24" ht="15" customHeight="1" hidden="1">
      <c r="M88" s="393"/>
      <c r="N88" s="393" t="s">
        <v>360</v>
      </c>
      <c r="O88" s="393" t="s">
        <v>259</v>
      </c>
      <c r="Q88" s="398">
        <v>19</v>
      </c>
      <c r="R88" s="398" t="s">
        <v>258</v>
      </c>
      <c r="S88" s="398" t="s">
        <v>277</v>
      </c>
      <c r="T88" s="399">
        <v>10</v>
      </c>
      <c r="U88" s="400">
        <v>35</v>
      </c>
      <c r="V88" s="400">
        <v>30</v>
      </c>
      <c r="X88" s="401" t="s">
        <v>293</v>
      </c>
    </row>
    <row r="89" spans="13:24" ht="15" customHeight="1" hidden="1">
      <c r="M89" s="397"/>
      <c r="N89" s="397" t="s">
        <v>361</v>
      </c>
      <c r="O89" s="397" t="s">
        <v>255</v>
      </c>
      <c r="Q89" s="398">
        <v>20</v>
      </c>
      <c r="R89" s="398" t="s">
        <v>267</v>
      </c>
      <c r="S89" s="398" t="s">
        <v>277</v>
      </c>
      <c r="T89" s="399">
        <v>10</v>
      </c>
      <c r="U89" s="400">
        <v>35</v>
      </c>
      <c r="V89" s="400">
        <v>30</v>
      </c>
      <c r="X89" s="401" t="s">
        <v>294</v>
      </c>
    </row>
    <row r="90" spans="13:24" ht="15" customHeight="1" hidden="1">
      <c r="M90" s="397"/>
      <c r="N90" s="397" t="s">
        <v>362</v>
      </c>
      <c r="O90" s="393" t="s">
        <v>267</v>
      </c>
      <c r="Q90" s="398">
        <v>21</v>
      </c>
      <c r="R90" s="398" t="s">
        <v>271</v>
      </c>
      <c r="S90" s="398" t="s">
        <v>277</v>
      </c>
      <c r="T90" s="399">
        <v>20</v>
      </c>
      <c r="U90" s="400">
        <v>35</v>
      </c>
      <c r="V90" s="400">
        <v>30</v>
      </c>
      <c r="X90" s="401" t="s">
        <v>295</v>
      </c>
    </row>
    <row r="91" spans="13:24" ht="15" customHeight="1" hidden="1">
      <c r="M91" s="392"/>
      <c r="N91" s="392" t="s">
        <v>363</v>
      </c>
      <c r="O91" s="393" t="s">
        <v>257</v>
      </c>
      <c r="Q91" s="398">
        <v>22</v>
      </c>
      <c r="R91" s="398" t="s">
        <v>256</v>
      </c>
      <c r="S91" s="398" t="s">
        <v>277</v>
      </c>
      <c r="T91" s="399">
        <v>10</v>
      </c>
      <c r="U91" s="400">
        <v>35</v>
      </c>
      <c r="V91" s="400">
        <v>30</v>
      </c>
      <c r="X91" s="401" t="s">
        <v>296</v>
      </c>
    </row>
    <row r="92" spans="13:24" ht="15" customHeight="1" hidden="1">
      <c r="M92" s="393"/>
      <c r="N92" s="393" t="s">
        <v>364</v>
      </c>
      <c r="O92" s="393" t="s">
        <v>262</v>
      </c>
      <c r="Q92" s="398">
        <v>23</v>
      </c>
      <c r="R92" s="398" t="s">
        <v>255</v>
      </c>
      <c r="S92" s="398" t="s">
        <v>277</v>
      </c>
      <c r="T92" s="399">
        <v>10</v>
      </c>
      <c r="U92" s="400">
        <v>35</v>
      </c>
      <c r="V92" s="400">
        <v>30</v>
      </c>
      <c r="X92" s="401" t="s">
        <v>297</v>
      </c>
    </row>
    <row r="93" spans="13:24" ht="15" customHeight="1" hidden="1">
      <c r="M93" s="393"/>
      <c r="N93" s="393" t="s">
        <v>365</v>
      </c>
      <c r="O93" s="393" t="s">
        <v>268</v>
      </c>
      <c r="Q93" s="398">
        <v>24</v>
      </c>
      <c r="R93" s="398" t="s">
        <v>265</v>
      </c>
      <c r="S93" s="398" t="s">
        <v>277</v>
      </c>
      <c r="T93" s="399">
        <v>10</v>
      </c>
      <c r="U93" s="400">
        <v>35</v>
      </c>
      <c r="V93" s="400">
        <v>30</v>
      </c>
      <c r="X93" s="401" t="s">
        <v>298</v>
      </c>
    </row>
    <row r="94" spans="13:24" ht="15" customHeight="1" hidden="1">
      <c r="M94" s="393"/>
      <c r="N94" s="393" t="s">
        <v>366</v>
      </c>
      <c r="O94" s="393" t="s">
        <v>269</v>
      </c>
      <c r="Q94" s="398">
        <v>25</v>
      </c>
      <c r="R94" s="398" t="s">
        <v>257</v>
      </c>
      <c r="S94" s="398" t="s">
        <v>277</v>
      </c>
      <c r="T94" s="399">
        <v>10</v>
      </c>
      <c r="U94" s="400">
        <v>35</v>
      </c>
      <c r="V94" s="400">
        <v>30</v>
      </c>
      <c r="X94" s="401" t="s">
        <v>301</v>
      </c>
    </row>
    <row r="95" spans="13:24" ht="15" customHeight="1" hidden="1">
      <c r="M95" s="397"/>
      <c r="N95" s="397" t="s">
        <v>367</v>
      </c>
      <c r="O95" s="397" t="s">
        <v>254</v>
      </c>
      <c r="Q95" s="398">
        <v>26</v>
      </c>
      <c r="R95" s="398" t="s">
        <v>262</v>
      </c>
      <c r="S95" s="398" t="s">
        <v>277</v>
      </c>
      <c r="T95" s="399">
        <v>10</v>
      </c>
      <c r="U95" s="400">
        <v>35</v>
      </c>
      <c r="V95" s="400">
        <v>30</v>
      </c>
      <c r="X95" s="403" t="s">
        <v>307</v>
      </c>
    </row>
    <row r="96" spans="13:24" ht="15" customHeight="1" hidden="1">
      <c r="M96" s="397"/>
      <c r="N96" s="397" t="s">
        <v>368</v>
      </c>
      <c r="O96" s="397" t="s">
        <v>255</v>
      </c>
      <c r="Q96" s="398">
        <v>27</v>
      </c>
      <c r="R96" s="398" t="s">
        <v>270</v>
      </c>
      <c r="S96" s="398" t="s">
        <v>277</v>
      </c>
      <c r="T96" s="399">
        <v>10</v>
      </c>
      <c r="U96" s="400">
        <v>35</v>
      </c>
      <c r="V96" s="400">
        <v>30</v>
      </c>
      <c r="X96" s="401" t="s">
        <v>299</v>
      </c>
    </row>
    <row r="97" spans="13:24" ht="15" customHeight="1" hidden="1">
      <c r="M97" s="393"/>
      <c r="N97" s="393" t="s">
        <v>369</v>
      </c>
      <c r="O97" s="393" t="s">
        <v>270</v>
      </c>
      <c r="Q97" s="398">
        <v>28</v>
      </c>
      <c r="R97" s="398" t="s">
        <v>261</v>
      </c>
      <c r="S97" s="398" t="s">
        <v>277</v>
      </c>
      <c r="T97" s="399">
        <v>10</v>
      </c>
      <c r="U97" s="400">
        <v>35</v>
      </c>
      <c r="V97" s="400">
        <v>30</v>
      </c>
      <c r="X97" s="401" t="s">
        <v>300</v>
      </c>
    </row>
    <row r="98" spans="13:22" ht="15" customHeight="1" hidden="1">
      <c r="M98" s="397"/>
      <c r="N98" s="397" t="s">
        <v>370</v>
      </c>
      <c r="O98" s="397" t="s">
        <v>267</v>
      </c>
      <c r="Q98" s="398">
        <v>29</v>
      </c>
      <c r="R98" s="398" t="s">
        <v>268</v>
      </c>
      <c r="S98" s="398" t="s">
        <v>277</v>
      </c>
      <c r="T98" s="399">
        <v>10</v>
      </c>
      <c r="U98" s="400">
        <v>35</v>
      </c>
      <c r="V98" s="400">
        <v>30</v>
      </c>
    </row>
    <row r="99" spans="13:22" ht="15" customHeight="1" hidden="1">
      <c r="M99" s="393"/>
      <c r="N99" s="393" t="s">
        <v>371</v>
      </c>
      <c r="O99" s="393" t="s">
        <v>271</v>
      </c>
      <c r="Q99" s="398">
        <v>30</v>
      </c>
      <c r="R99" s="398" t="s">
        <v>269</v>
      </c>
      <c r="S99" s="398" t="s">
        <v>277</v>
      </c>
      <c r="T99" s="399">
        <v>20</v>
      </c>
      <c r="U99" s="400">
        <v>35</v>
      </c>
      <c r="V99" s="400">
        <v>30</v>
      </c>
    </row>
    <row r="100" spans="17:22" ht="15" customHeight="1" hidden="1">
      <c r="Q100" s="398">
        <v>31</v>
      </c>
      <c r="R100" s="398" t="s">
        <v>263</v>
      </c>
      <c r="S100" s="398" t="s">
        <v>277</v>
      </c>
      <c r="T100" s="399">
        <v>10</v>
      </c>
      <c r="U100" s="400">
        <v>35</v>
      </c>
      <c r="V100" s="400">
        <v>30</v>
      </c>
    </row>
    <row r="101" spans="17:22" ht="15" customHeight="1" hidden="1">
      <c r="Q101" s="398">
        <v>32</v>
      </c>
      <c r="R101" s="398" t="s">
        <v>264</v>
      </c>
      <c r="S101" s="398" t="s">
        <v>277</v>
      </c>
      <c r="T101" s="399">
        <v>10</v>
      </c>
      <c r="U101" s="400">
        <v>35</v>
      </c>
      <c r="V101" s="400">
        <v>30</v>
      </c>
    </row>
    <row r="102" spans="17:22" ht="15" customHeight="1" hidden="1">
      <c r="Q102" s="398">
        <v>33</v>
      </c>
      <c r="R102" s="398" t="s">
        <v>254</v>
      </c>
      <c r="S102" s="398" t="s">
        <v>277</v>
      </c>
      <c r="T102" s="399">
        <v>10</v>
      </c>
      <c r="U102" s="400">
        <v>35</v>
      </c>
      <c r="V102" s="400">
        <v>30</v>
      </c>
    </row>
    <row r="103" spans="17:22" ht="15" customHeight="1" hidden="1">
      <c r="Q103" s="398">
        <v>34</v>
      </c>
      <c r="R103" s="398" t="s">
        <v>259</v>
      </c>
      <c r="S103" s="398" t="s">
        <v>277</v>
      </c>
      <c r="T103" s="399">
        <v>10</v>
      </c>
      <c r="U103" s="400">
        <v>35</v>
      </c>
      <c r="V103" s="400">
        <v>30</v>
      </c>
    </row>
    <row r="104" spans="17:22" ht="15" customHeight="1" hidden="1">
      <c r="Q104" s="398">
        <v>35</v>
      </c>
      <c r="R104" s="398" t="s">
        <v>266</v>
      </c>
      <c r="S104" s="398" t="s">
        <v>277</v>
      </c>
      <c r="T104" s="399">
        <v>10</v>
      </c>
      <c r="U104" s="400">
        <v>35</v>
      </c>
      <c r="V104" s="400">
        <v>30</v>
      </c>
    </row>
    <row r="105" spans="17:22" ht="15" customHeight="1" hidden="1">
      <c r="Q105" s="398">
        <v>36</v>
      </c>
      <c r="R105" s="398" t="s">
        <v>260</v>
      </c>
      <c r="S105" s="398" t="s">
        <v>277</v>
      </c>
      <c r="T105" s="399">
        <v>10</v>
      </c>
      <c r="U105" s="400">
        <v>35</v>
      </c>
      <c r="V105" s="400">
        <v>30</v>
      </c>
    </row>
    <row r="106" spans="17:22" ht="15" customHeight="1" hidden="1">
      <c r="Q106" s="398">
        <v>37</v>
      </c>
      <c r="R106" s="398" t="s">
        <v>258</v>
      </c>
      <c r="S106" s="398" t="s">
        <v>278</v>
      </c>
      <c r="T106" s="399">
        <v>10</v>
      </c>
      <c r="U106" s="400">
        <v>20</v>
      </c>
      <c r="V106" s="400">
        <v>20</v>
      </c>
    </row>
    <row r="107" spans="17:22" ht="15" customHeight="1" hidden="1">
      <c r="Q107" s="398">
        <v>38</v>
      </c>
      <c r="R107" s="398" t="s">
        <v>267</v>
      </c>
      <c r="S107" s="398" t="s">
        <v>278</v>
      </c>
      <c r="T107" s="399">
        <v>10</v>
      </c>
      <c r="U107" s="400">
        <v>20</v>
      </c>
      <c r="V107" s="400">
        <v>20</v>
      </c>
    </row>
    <row r="108" spans="17:22" ht="15" customHeight="1" hidden="1">
      <c r="Q108" s="398">
        <v>39</v>
      </c>
      <c r="R108" s="398" t="s">
        <v>271</v>
      </c>
      <c r="S108" s="398" t="s">
        <v>278</v>
      </c>
      <c r="T108" s="399">
        <v>10</v>
      </c>
      <c r="U108" s="400">
        <v>25</v>
      </c>
      <c r="V108" s="400">
        <v>25</v>
      </c>
    </row>
    <row r="109" spans="17:22" ht="15" customHeight="1" hidden="1">
      <c r="Q109" s="398">
        <v>40</v>
      </c>
      <c r="R109" s="398" t="s">
        <v>256</v>
      </c>
      <c r="S109" s="398" t="s">
        <v>278</v>
      </c>
      <c r="T109" s="399">
        <v>10</v>
      </c>
      <c r="U109" s="400">
        <v>25</v>
      </c>
      <c r="V109" s="400">
        <v>25</v>
      </c>
    </row>
    <row r="110" spans="17:22" ht="15" customHeight="1" hidden="1">
      <c r="Q110" s="398">
        <v>41</v>
      </c>
      <c r="R110" s="398" t="s">
        <v>255</v>
      </c>
      <c r="S110" s="398" t="s">
        <v>278</v>
      </c>
      <c r="T110" s="399">
        <v>10</v>
      </c>
      <c r="U110" s="400">
        <v>25</v>
      </c>
      <c r="V110" s="400">
        <v>25</v>
      </c>
    </row>
    <row r="111" spans="17:22" ht="15" customHeight="1" hidden="1">
      <c r="Q111" s="398">
        <v>42</v>
      </c>
      <c r="R111" s="398" t="s">
        <v>265</v>
      </c>
      <c r="S111" s="398" t="s">
        <v>278</v>
      </c>
      <c r="T111" s="399">
        <v>10</v>
      </c>
      <c r="U111" s="400">
        <v>25</v>
      </c>
      <c r="V111" s="400">
        <v>25</v>
      </c>
    </row>
    <row r="112" spans="17:22" ht="15" customHeight="1" hidden="1">
      <c r="Q112" s="398">
        <v>43</v>
      </c>
      <c r="R112" s="398" t="s">
        <v>257</v>
      </c>
      <c r="S112" s="398" t="s">
        <v>278</v>
      </c>
      <c r="T112" s="399">
        <v>10</v>
      </c>
      <c r="U112" s="400">
        <v>25</v>
      </c>
      <c r="V112" s="400">
        <v>25</v>
      </c>
    </row>
    <row r="113" spans="17:22" ht="15" customHeight="1" hidden="1">
      <c r="Q113" s="398">
        <v>44</v>
      </c>
      <c r="R113" s="398" t="s">
        <v>262</v>
      </c>
      <c r="S113" s="398" t="s">
        <v>278</v>
      </c>
      <c r="T113" s="399">
        <v>10</v>
      </c>
      <c r="U113" s="400">
        <v>20</v>
      </c>
      <c r="V113" s="400">
        <v>20</v>
      </c>
    </row>
    <row r="114" spans="17:22" ht="15" customHeight="1" hidden="1">
      <c r="Q114" s="398">
        <v>45</v>
      </c>
      <c r="R114" s="398" t="s">
        <v>270</v>
      </c>
      <c r="S114" s="398" t="s">
        <v>278</v>
      </c>
      <c r="T114" s="399">
        <v>10</v>
      </c>
      <c r="U114" s="400">
        <v>20</v>
      </c>
      <c r="V114" s="400">
        <v>20</v>
      </c>
    </row>
    <row r="115" spans="17:22" ht="15" customHeight="1" hidden="1">
      <c r="Q115" s="398">
        <v>46</v>
      </c>
      <c r="R115" s="398" t="s">
        <v>261</v>
      </c>
      <c r="S115" s="398" t="s">
        <v>278</v>
      </c>
      <c r="T115" s="399">
        <v>10</v>
      </c>
      <c r="U115" s="400">
        <v>20</v>
      </c>
      <c r="V115" s="400">
        <v>20</v>
      </c>
    </row>
    <row r="116" spans="17:22" ht="15" customHeight="1" hidden="1">
      <c r="Q116" s="398">
        <v>47</v>
      </c>
      <c r="R116" s="398" t="s">
        <v>268</v>
      </c>
      <c r="S116" s="398" t="s">
        <v>278</v>
      </c>
      <c r="T116" s="399">
        <v>10</v>
      </c>
      <c r="U116" s="400">
        <v>20</v>
      </c>
      <c r="V116" s="400">
        <v>25</v>
      </c>
    </row>
    <row r="117" spans="17:22" ht="15" customHeight="1" hidden="1">
      <c r="Q117" s="398">
        <v>48</v>
      </c>
      <c r="R117" s="398" t="s">
        <v>269</v>
      </c>
      <c r="S117" s="398" t="s">
        <v>278</v>
      </c>
      <c r="T117" s="399">
        <v>10</v>
      </c>
      <c r="U117" s="400">
        <v>25</v>
      </c>
      <c r="V117" s="400">
        <v>25</v>
      </c>
    </row>
    <row r="118" spans="17:22" ht="15" customHeight="1" hidden="1">
      <c r="Q118" s="398">
        <v>49</v>
      </c>
      <c r="R118" s="398" t="s">
        <v>263</v>
      </c>
      <c r="S118" s="398" t="s">
        <v>278</v>
      </c>
      <c r="T118" s="399">
        <v>10</v>
      </c>
      <c r="U118" s="400">
        <v>25</v>
      </c>
      <c r="V118" s="400">
        <v>25</v>
      </c>
    </row>
    <row r="119" spans="17:22" ht="15" customHeight="1" hidden="1">
      <c r="Q119" s="398">
        <v>50</v>
      </c>
      <c r="R119" s="398" t="s">
        <v>264</v>
      </c>
      <c r="S119" s="398" t="s">
        <v>278</v>
      </c>
      <c r="T119" s="399">
        <v>10</v>
      </c>
      <c r="U119" s="400">
        <v>25</v>
      </c>
      <c r="V119" s="400">
        <v>25</v>
      </c>
    </row>
    <row r="120" spans="17:22" ht="15" customHeight="1" hidden="1">
      <c r="Q120" s="398">
        <v>51</v>
      </c>
      <c r="R120" s="398" t="s">
        <v>254</v>
      </c>
      <c r="S120" s="398" t="s">
        <v>278</v>
      </c>
      <c r="T120" s="399">
        <v>10</v>
      </c>
      <c r="U120" s="400">
        <v>25</v>
      </c>
      <c r="V120" s="400">
        <v>25</v>
      </c>
    </row>
    <row r="121" spans="17:22" ht="15" customHeight="1" hidden="1">
      <c r="Q121" s="398">
        <v>52</v>
      </c>
      <c r="R121" s="398" t="s">
        <v>259</v>
      </c>
      <c r="S121" s="398" t="s">
        <v>278</v>
      </c>
      <c r="T121" s="399">
        <v>10</v>
      </c>
      <c r="U121" s="400">
        <v>25</v>
      </c>
      <c r="V121" s="400">
        <v>25</v>
      </c>
    </row>
    <row r="122" spans="17:22" ht="15" customHeight="1" hidden="1">
      <c r="Q122" s="398">
        <v>53</v>
      </c>
      <c r="R122" s="398" t="s">
        <v>266</v>
      </c>
      <c r="S122" s="398" t="s">
        <v>278</v>
      </c>
      <c r="T122" s="399">
        <v>10</v>
      </c>
      <c r="U122" s="400">
        <v>25</v>
      </c>
      <c r="V122" s="400">
        <v>25</v>
      </c>
    </row>
    <row r="123" spans="17:22" ht="15" customHeight="1" hidden="1">
      <c r="Q123" s="398">
        <v>54</v>
      </c>
      <c r="R123" s="398" t="s">
        <v>260</v>
      </c>
      <c r="S123" s="398" t="s">
        <v>278</v>
      </c>
      <c r="T123" s="399">
        <v>10</v>
      </c>
      <c r="U123" s="400">
        <v>25</v>
      </c>
      <c r="V123" s="400">
        <v>25</v>
      </c>
    </row>
    <row r="124" spans="17:22" ht="15" customHeight="1" hidden="1">
      <c r="Q124" s="398">
        <v>55</v>
      </c>
      <c r="R124" s="398" t="s">
        <v>258</v>
      </c>
      <c r="S124" s="398" t="s">
        <v>279</v>
      </c>
      <c r="T124" s="400">
        <v>30</v>
      </c>
      <c r="U124" s="400">
        <v>50</v>
      </c>
      <c r="V124" s="400">
        <v>45</v>
      </c>
    </row>
    <row r="125" spans="17:22" ht="15" customHeight="1" hidden="1">
      <c r="Q125" s="398">
        <v>56</v>
      </c>
      <c r="R125" s="398" t="s">
        <v>267</v>
      </c>
      <c r="S125" s="398" t="s">
        <v>279</v>
      </c>
      <c r="T125" s="400">
        <v>30</v>
      </c>
      <c r="U125" s="400">
        <v>50</v>
      </c>
      <c r="V125" s="400">
        <v>45</v>
      </c>
    </row>
    <row r="126" spans="17:22" ht="15" customHeight="1" hidden="1">
      <c r="Q126" s="398">
        <v>57</v>
      </c>
      <c r="R126" s="398" t="s">
        <v>271</v>
      </c>
      <c r="S126" s="398" t="s">
        <v>279</v>
      </c>
      <c r="T126" s="400">
        <v>30</v>
      </c>
      <c r="U126" s="400">
        <v>50</v>
      </c>
      <c r="V126" s="400">
        <v>45</v>
      </c>
    </row>
    <row r="127" spans="17:22" ht="15" customHeight="1" hidden="1">
      <c r="Q127" s="398">
        <v>58</v>
      </c>
      <c r="R127" s="398" t="s">
        <v>256</v>
      </c>
      <c r="S127" s="398" t="s">
        <v>279</v>
      </c>
      <c r="T127" s="400">
        <v>30</v>
      </c>
      <c r="U127" s="400">
        <v>50</v>
      </c>
      <c r="V127" s="400">
        <v>45</v>
      </c>
    </row>
    <row r="128" spans="17:22" ht="15" customHeight="1" hidden="1">
      <c r="Q128" s="398">
        <v>59</v>
      </c>
      <c r="R128" s="398" t="s">
        <v>255</v>
      </c>
      <c r="S128" s="398" t="s">
        <v>279</v>
      </c>
      <c r="T128" s="400">
        <v>30</v>
      </c>
      <c r="U128" s="400">
        <v>50</v>
      </c>
      <c r="V128" s="400">
        <v>45</v>
      </c>
    </row>
    <row r="129" spans="17:22" ht="15" customHeight="1" hidden="1">
      <c r="Q129" s="398">
        <v>60</v>
      </c>
      <c r="R129" s="398" t="s">
        <v>265</v>
      </c>
      <c r="S129" s="398" t="s">
        <v>279</v>
      </c>
      <c r="T129" s="400">
        <v>30</v>
      </c>
      <c r="U129" s="400">
        <v>50</v>
      </c>
      <c r="V129" s="400">
        <v>45</v>
      </c>
    </row>
    <row r="130" spans="17:22" ht="15" customHeight="1" hidden="1">
      <c r="Q130" s="398">
        <v>61</v>
      </c>
      <c r="R130" s="398" t="s">
        <v>257</v>
      </c>
      <c r="S130" s="398" t="s">
        <v>279</v>
      </c>
      <c r="T130" s="400">
        <v>30</v>
      </c>
      <c r="U130" s="400">
        <v>50</v>
      </c>
      <c r="V130" s="400">
        <v>45</v>
      </c>
    </row>
    <row r="131" spans="17:22" ht="15" customHeight="1" hidden="1">
      <c r="Q131" s="398">
        <v>62</v>
      </c>
      <c r="R131" s="398" t="s">
        <v>262</v>
      </c>
      <c r="S131" s="398" t="s">
        <v>279</v>
      </c>
      <c r="T131" s="400">
        <v>30</v>
      </c>
      <c r="U131" s="400">
        <v>50</v>
      </c>
      <c r="V131" s="400">
        <v>45</v>
      </c>
    </row>
    <row r="132" spans="17:22" ht="15" customHeight="1" hidden="1">
      <c r="Q132" s="398">
        <v>63</v>
      </c>
      <c r="R132" s="398" t="s">
        <v>270</v>
      </c>
      <c r="S132" s="398" t="s">
        <v>279</v>
      </c>
      <c r="T132" s="400">
        <v>30</v>
      </c>
      <c r="U132" s="400">
        <v>50</v>
      </c>
      <c r="V132" s="400">
        <v>45</v>
      </c>
    </row>
    <row r="133" spans="17:22" ht="15" customHeight="1" hidden="1">
      <c r="Q133" s="398">
        <v>64</v>
      </c>
      <c r="R133" s="398" t="s">
        <v>261</v>
      </c>
      <c r="S133" s="398" t="s">
        <v>279</v>
      </c>
      <c r="T133" s="400">
        <v>30</v>
      </c>
      <c r="U133" s="400">
        <v>50</v>
      </c>
      <c r="V133" s="400">
        <v>45</v>
      </c>
    </row>
    <row r="134" spans="17:22" ht="15" customHeight="1" hidden="1">
      <c r="Q134" s="398">
        <v>65</v>
      </c>
      <c r="R134" s="398" t="s">
        <v>268</v>
      </c>
      <c r="S134" s="398" t="s">
        <v>279</v>
      </c>
      <c r="T134" s="400">
        <v>30</v>
      </c>
      <c r="U134" s="400">
        <v>50</v>
      </c>
      <c r="V134" s="400">
        <v>45</v>
      </c>
    </row>
    <row r="135" spans="17:22" ht="15" customHeight="1" hidden="1">
      <c r="Q135" s="398">
        <v>66</v>
      </c>
      <c r="R135" s="398" t="s">
        <v>269</v>
      </c>
      <c r="S135" s="398" t="s">
        <v>279</v>
      </c>
      <c r="T135" s="400">
        <v>30</v>
      </c>
      <c r="U135" s="400">
        <v>50</v>
      </c>
      <c r="V135" s="400">
        <v>45</v>
      </c>
    </row>
    <row r="136" spans="17:22" ht="15" customHeight="1" hidden="1">
      <c r="Q136" s="398">
        <v>67</v>
      </c>
      <c r="R136" s="398" t="s">
        <v>263</v>
      </c>
      <c r="S136" s="398" t="s">
        <v>279</v>
      </c>
      <c r="T136" s="400">
        <v>30</v>
      </c>
      <c r="U136" s="400">
        <v>50</v>
      </c>
      <c r="V136" s="400">
        <v>45</v>
      </c>
    </row>
    <row r="137" spans="17:22" ht="15" customHeight="1" hidden="1">
      <c r="Q137" s="398">
        <v>68</v>
      </c>
      <c r="R137" s="398" t="s">
        <v>264</v>
      </c>
      <c r="S137" s="398" t="s">
        <v>279</v>
      </c>
      <c r="T137" s="400">
        <v>30</v>
      </c>
      <c r="U137" s="400">
        <v>50</v>
      </c>
      <c r="V137" s="400">
        <v>45</v>
      </c>
    </row>
    <row r="138" spans="17:22" ht="15" customHeight="1" hidden="1">
      <c r="Q138" s="398">
        <v>69</v>
      </c>
      <c r="R138" s="398" t="s">
        <v>254</v>
      </c>
      <c r="S138" s="398" t="s">
        <v>279</v>
      </c>
      <c r="T138" s="400">
        <v>30</v>
      </c>
      <c r="U138" s="400">
        <v>50</v>
      </c>
      <c r="V138" s="400">
        <v>45</v>
      </c>
    </row>
    <row r="139" spans="17:22" ht="15" customHeight="1" hidden="1">
      <c r="Q139" s="398">
        <v>70</v>
      </c>
      <c r="R139" s="398" t="s">
        <v>259</v>
      </c>
      <c r="S139" s="398" t="s">
        <v>279</v>
      </c>
      <c r="T139" s="400">
        <v>30</v>
      </c>
      <c r="U139" s="400">
        <v>50</v>
      </c>
      <c r="V139" s="400">
        <v>45</v>
      </c>
    </row>
    <row r="140" spans="17:22" ht="15" customHeight="1" hidden="1">
      <c r="Q140" s="398">
        <v>71</v>
      </c>
      <c r="R140" s="398" t="s">
        <v>266</v>
      </c>
      <c r="S140" s="398" t="s">
        <v>279</v>
      </c>
      <c r="T140" s="400">
        <v>30</v>
      </c>
      <c r="U140" s="400">
        <v>50</v>
      </c>
      <c r="V140" s="400">
        <v>45</v>
      </c>
    </row>
    <row r="141" spans="17:22" ht="15" customHeight="1" hidden="1">
      <c r="Q141" s="398">
        <v>72</v>
      </c>
      <c r="R141" s="398" t="s">
        <v>260</v>
      </c>
      <c r="S141" s="398" t="s">
        <v>279</v>
      </c>
      <c r="T141" s="400">
        <v>30</v>
      </c>
      <c r="U141" s="400">
        <v>50</v>
      </c>
      <c r="V141" s="400">
        <v>45</v>
      </c>
    </row>
    <row r="142" spans="17:22" ht="15" customHeight="1" hidden="1">
      <c r="Q142" s="398">
        <v>73</v>
      </c>
      <c r="R142" s="398" t="s">
        <v>258</v>
      </c>
      <c r="S142" s="398" t="s">
        <v>280</v>
      </c>
      <c r="T142" s="400">
        <v>40</v>
      </c>
      <c r="U142" s="400">
        <v>50</v>
      </c>
      <c r="V142" s="400">
        <v>45</v>
      </c>
    </row>
    <row r="143" spans="17:22" ht="15" customHeight="1" hidden="1">
      <c r="Q143" s="398">
        <v>74</v>
      </c>
      <c r="R143" s="398" t="s">
        <v>267</v>
      </c>
      <c r="S143" s="398" t="s">
        <v>280</v>
      </c>
      <c r="T143" s="400">
        <v>40</v>
      </c>
      <c r="U143" s="400">
        <v>50</v>
      </c>
      <c r="V143" s="400">
        <v>45</v>
      </c>
    </row>
    <row r="144" spans="17:22" ht="15" customHeight="1" hidden="1">
      <c r="Q144" s="398">
        <v>75</v>
      </c>
      <c r="R144" s="398" t="s">
        <v>271</v>
      </c>
      <c r="S144" s="398" t="s">
        <v>280</v>
      </c>
      <c r="T144" s="400">
        <v>40</v>
      </c>
      <c r="U144" s="400">
        <v>50</v>
      </c>
      <c r="V144" s="400">
        <v>45</v>
      </c>
    </row>
    <row r="145" spans="17:22" ht="15" customHeight="1" hidden="1">
      <c r="Q145" s="398">
        <v>76</v>
      </c>
      <c r="R145" s="398" t="s">
        <v>256</v>
      </c>
      <c r="S145" s="398" t="s">
        <v>280</v>
      </c>
      <c r="T145" s="400">
        <v>40</v>
      </c>
      <c r="U145" s="400">
        <v>50</v>
      </c>
      <c r="V145" s="400">
        <v>45</v>
      </c>
    </row>
    <row r="146" spans="17:22" ht="15" customHeight="1" hidden="1">
      <c r="Q146" s="398">
        <v>77</v>
      </c>
      <c r="R146" s="398" t="s">
        <v>255</v>
      </c>
      <c r="S146" s="398" t="s">
        <v>280</v>
      </c>
      <c r="T146" s="400">
        <v>40</v>
      </c>
      <c r="U146" s="400">
        <v>50</v>
      </c>
      <c r="V146" s="400">
        <v>45</v>
      </c>
    </row>
    <row r="147" spans="17:22" ht="15" customHeight="1" hidden="1">
      <c r="Q147" s="398">
        <v>78</v>
      </c>
      <c r="R147" s="398" t="s">
        <v>265</v>
      </c>
      <c r="S147" s="398" t="s">
        <v>280</v>
      </c>
      <c r="T147" s="400">
        <v>40</v>
      </c>
      <c r="U147" s="400">
        <v>50</v>
      </c>
      <c r="V147" s="400">
        <v>45</v>
      </c>
    </row>
    <row r="148" spans="17:22" ht="15" customHeight="1" hidden="1">
      <c r="Q148" s="398">
        <v>79</v>
      </c>
      <c r="R148" s="398" t="s">
        <v>257</v>
      </c>
      <c r="S148" s="398" t="s">
        <v>280</v>
      </c>
      <c r="T148" s="400">
        <v>40</v>
      </c>
      <c r="U148" s="400">
        <v>50</v>
      </c>
      <c r="V148" s="400">
        <v>45</v>
      </c>
    </row>
    <row r="149" spans="17:22" ht="15" customHeight="1" hidden="1">
      <c r="Q149" s="398">
        <v>80</v>
      </c>
      <c r="R149" s="398" t="s">
        <v>262</v>
      </c>
      <c r="S149" s="398" t="s">
        <v>280</v>
      </c>
      <c r="T149" s="400">
        <v>40</v>
      </c>
      <c r="U149" s="400">
        <v>50</v>
      </c>
      <c r="V149" s="400">
        <v>45</v>
      </c>
    </row>
    <row r="150" spans="17:22" ht="15" customHeight="1" hidden="1">
      <c r="Q150" s="398">
        <v>81</v>
      </c>
      <c r="R150" s="398" t="s">
        <v>270</v>
      </c>
      <c r="S150" s="398" t="s">
        <v>280</v>
      </c>
      <c r="T150" s="400">
        <v>40</v>
      </c>
      <c r="U150" s="400">
        <v>50</v>
      </c>
      <c r="V150" s="400">
        <v>45</v>
      </c>
    </row>
    <row r="151" spans="17:22" ht="15" customHeight="1" hidden="1">
      <c r="Q151" s="398">
        <v>82</v>
      </c>
      <c r="R151" s="398" t="s">
        <v>261</v>
      </c>
      <c r="S151" s="398" t="s">
        <v>280</v>
      </c>
      <c r="T151" s="400">
        <v>40</v>
      </c>
      <c r="U151" s="400">
        <v>50</v>
      </c>
      <c r="V151" s="400">
        <v>45</v>
      </c>
    </row>
    <row r="152" spans="17:22" ht="15" customHeight="1" hidden="1">
      <c r="Q152" s="398">
        <v>83</v>
      </c>
      <c r="R152" s="398" t="s">
        <v>268</v>
      </c>
      <c r="S152" s="398" t="s">
        <v>280</v>
      </c>
      <c r="T152" s="400">
        <v>40</v>
      </c>
      <c r="U152" s="400">
        <v>50</v>
      </c>
      <c r="V152" s="400">
        <v>45</v>
      </c>
    </row>
    <row r="153" spans="17:22" ht="15" customHeight="1" hidden="1">
      <c r="Q153" s="398">
        <v>84</v>
      </c>
      <c r="R153" s="398" t="s">
        <v>269</v>
      </c>
      <c r="S153" s="398" t="s">
        <v>280</v>
      </c>
      <c r="T153" s="400">
        <v>40</v>
      </c>
      <c r="U153" s="400">
        <v>50</v>
      </c>
      <c r="V153" s="400">
        <v>45</v>
      </c>
    </row>
    <row r="154" spans="17:22" ht="15" customHeight="1" hidden="1">
      <c r="Q154" s="398">
        <v>85</v>
      </c>
      <c r="R154" s="398" t="s">
        <v>263</v>
      </c>
      <c r="S154" s="398" t="s">
        <v>280</v>
      </c>
      <c r="T154" s="400">
        <v>40</v>
      </c>
      <c r="U154" s="400">
        <v>50</v>
      </c>
      <c r="V154" s="400">
        <v>45</v>
      </c>
    </row>
    <row r="155" spans="17:22" ht="15" customHeight="1" hidden="1">
      <c r="Q155" s="398">
        <v>86</v>
      </c>
      <c r="R155" s="398" t="s">
        <v>264</v>
      </c>
      <c r="S155" s="398" t="s">
        <v>280</v>
      </c>
      <c r="T155" s="400">
        <v>40</v>
      </c>
      <c r="U155" s="400">
        <v>50</v>
      </c>
      <c r="V155" s="400">
        <v>45</v>
      </c>
    </row>
    <row r="156" spans="17:22" ht="15" customHeight="1" hidden="1">
      <c r="Q156" s="398">
        <v>87</v>
      </c>
      <c r="R156" s="398" t="s">
        <v>254</v>
      </c>
      <c r="S156" s="398" t="s">
        <v>280</v>
      </c>
      <c r="T156" s="400">
        <v>40</v>
      </c>
      <c r="U156" s="400">
        <v>50</v>
      </c>
      <c r="V156" s="400">
        <v>45</v>
      </c>
    </row>
    <row r="157" spans="17:22" ht="15" customHeight="1" hidden="1">
      <c r="Q157" s="398">
        <v>88</v>
      </c>
      <c r="R157" s="398" t="s">
        <v>259</v>
      </c>
      <c r="S157" s="398" t="s">
        <v>280</v>
      </c>
      <c r="T157" s="400">
        <v>40</v>
      </c>
      <c r="U157" s="400">
        <v>50</v>
      </c>
      <c r="V157" s="400">
        <v>45</v>
      </c>
    </row>
    <row r="158" spans="17:22" ht="15" customHeight="1" hidden="1">
      <c r="Q158" s="398">
        <v>89</v>
      </c>
      <c r="R158" s="398" t="s">
        <v>266</v>
      </c>
      <c r="S158" s="398" t="s">
        <v>280</v>
      </c>
      <c r="T158" s="400">
        <v>40</v>
      </c>
      <c r="U158" s="400">
        <v>50</v>
      </c>
      <c r="V158" s="400">
        <v>45</v>
      </c>
    </row>
    <row r="159" spans="17:22" ht="15" customHeight="1" hidden="1">
      <c r="Q159" s="398">
        <v>90</v>
      </c>
      <c r="R159" s="398" t="s">
        <v>260</v>
      </c>
      <c r="S159" s="398" t="s">
        <v>280</v>
      </c>
      <c r="T159" s="400">
        <v>40</v>
      </c>
      <c r="U159" s="400">
        <v>50</v>
      </c>
      <c r="V159" s="400">
        <v>45</v>
      </c>
    </row>
    <row r="160" spans="17:22" ht="15" customHeight="1" hidden="1">
      <c r="Q160" s="398">
        <v>91</v>
      </c>
      <c r="R160" s="398" t="s">
        <v>258</v>
      </c>
      <c r="S160" s="398" t="s">
        <v>281</v>
      </c>
      <c r="T160" s="400">
        <v>40</v>
      </c>
      <c r="U160" s="400">
        <v>50</v>
      </c>
      <c r="V160" s="400">
        <v>45</v>
      </c>
    </row>
    <row r="161" spans="17:22" ht="15" customHeight="1" hidden="1">
      <c r="Q161" s="398">
        <v>92</v>
      </c>
      <c r="R161" s="398" t="s">
        <v>267</v>
      </c>
      <c r="S161" s="398" t="s">
        <v>281</v>
      </c>
      <c r="T161" s="400">
        <v>40</v>
      </c>
      <c r="U161" s="400">
        <v>50</v>
      </c>
      <c r="V161" s="400">
        <v>45</v>
      </c>
    </row>
    <row r="162" spans="17:22" ht="15" customHeight="1" hidden="1">
      <c r="Q162" s="398">
        <v>93</v>
      </c>
      <c r="R162" s="398" t="s">
        <v>271</v>
      </c>
      <c r="S162" s="398" t="s">
        <v>281</v>
      </c>
      <c r="T162" s="400">
        <v>40</v>
      </c>
      <c r="U162" s="400">
        <v>50</v>
      </c>
      <c r="V162" s="400">
        <v>45</v>
      </c>
    </row>
    <row r="163" spans="17:22" ht="15" customHeight="1" hidden="1">
      <c r="Q163" s="398">
        <v>94</v>
      </c>
      <c r="R163" s="398" t="s">
        <v>256</v>
      </c>
      <c r="S163" s="398" t="s">
        <v>281</v>
      </c>
      <c r="T163" s="400">
        <v>40</v>
      </c>
      <c r="U163" s="400">
        <v>50</v>
      </c>
      <c r="V163" s="400">
        <v>45</v>
      </c>
    </row>
    <row r="164" spans="17:22" ht="15" customHeight="1" hidden="1">
      <c r="Q164" s="398">
        <v>95</v>
      </c>
      <c r="R164" s="398" t="s">
        <v>255</v>
      </c>
      <c r="S164" s="398" t="s">
        <v>281</v>
      </c>
      <c r="T164" s="400">
        <v>40</v>
      </c>
      <c r="U164" s="400">
        <v>50</v>
      </c>
      <c r="V164" s="400">
        <v>45</v>
      </c>
    </row>
    <row r="165" spans="17:22" ht="15" customHeight="1" hidden="1">
      <c r="Q165" s="398">
        <v>96</v>
      </c>
      <c r="R165" s="398" t="s">
        <v>265</v>
      </c>
      <c r="S165" s="398" t="s">
        <v>281</v>
      </c>
      <c r="T165" s="400">
        <v>40</v>
      </c>
      <c r="U165" s="400">
        <v>50</v>
      </c>
      <c r="V165" s="400">
        <v>45</v>
      </c>
    </row>
    <row r="166" spans="17:22" ht="15" customHeight="1" hidden="1">
      <c r="Q166" s="398">
        <v>97</v>
      </c>
      <c r="R166" s="398" t="s">
        <v>257</v>
      </c>
      <c r="S166" s="398" t="s">
        <v>281</v>
      </c>
      <c r="T166" s="400">
        <v>40</v>
      </c>
      <c r="U166" s="400">
        <v>50</v>
      </c>
      <c r="V166" s="400">
        <v>45</v>
      </c>
    </row>
    <row r="167" spans="17:22" ht="15" customHeight="1" hidden="1">
      <c r="Q167" s="398">
        <v>98</v>
      </c>
      <c r="R167" s="398" t="s">
        <v>262</v>
      </c>
      <c r="S167" s="398" t="s">
        <v>281</v>
      </c>
      <c r="T167" s="400">
        <v>40</v>
      </c>
      <c r="U167" s="400">
        <v>50</v>
      </c>
      <c r="V167" s="400">
        <v>45</v>
      </c>
    </row>
    <row r="168" spans="17:22" ht="15" customHeight="1" hidden="1">
      <c r="Q168" s="398">
        <v>99</v>
      </c>
      <c r="R168" s="398" t="s">
        <v>270</v>
      </c>
      <c r="S168" s="398" t="s">
        <v>281</v>
      </c>
      <c r="T168" s="400">
        <v>40</v>
      </c>
      <c r="U168" s="400">
        <v>50</v>
      </c>
      <c r="V168" s="400">
        <v>45</v>
      </c>
    </row>
    <row r="169" spans="17:22" ht="15" customHeight="1" hidden="1">
      <c r="Q169" s="398">
        <v>100</v>
      </c>
      <c r="R169" s="398" t="s">
        <v>261</v>
      </c>
      <c r="S169" s="398" t="s">
        <v>281</v>
      </c>
      <c r="T169" s="400">
        <v>40</v>
      </c>
      <c r="U169" s="400">
        <v>50</v>
      </c>
      <c r="V169" s="400">
        <v>45</v>
      </c>
    </row>
    <row r="170" spans="17:22" ht="15" customHeight="1" hidden="1">
      <c r="Q170" s="398">
        <v>101</v>
      </c>
      <c r="R170" s="398" t="s">
        <v>268</v>
      </c>
      <c r="S170" s="398" t="s">
        <v>281</v>
      </c>
      <c r="T170" s="400">
        <v>40</v>
      </c>
      <c r="U170" s="400">
        <v>50</v>
      </c>
      <c r="V170" s="400">
        <v>45</v>
      </c>
    </row>
    <row r="171" spans="17:22" ht="15" customHeight="1" hidden="1">
      <c r="Q171" s="398">
        <v>102</v>
      </c>
      <c r="R171" s="398" t="s">
        <v>269</v>
      </c>
      <c r="S171" s="398" t="s">
        <v>281</v>
      </c>
      <c r="T171" s="400">
        <v>40</v>
      </c>
      <c r="U171" s="400">
        <v>50</v>
      </c>
      <c r="V171" s="400">
        <v>45</v>
      </c>
    </row>
    <row r="172" spans="17:22" ht="15" customHeight="1" hidden="1">
      <c r="Q172" s="398">
        <v>103</v>
      </c>
      <c r="R172" s="398" t="s">
        <v>263</v>
      </c>
      <c r="S172" s="398" t="s">
        <v>281</v>
      </c>
      <c r="T172" s="400">
        <v>40</v>
      </c>
      <c r="U172" s="400">
        <v>50</v>
      </c>
      <c r="V172" s="400">
        <v>45</v>
      </c>
    </row>
    <row r="173" spans="17:22" ht="15" customHeight="1" hidden="1">
      <c r="Q173" s="398">
        <v>104</v>
      </c>
      <c r="R173" s="398" t="s">
        <v>264</v>
      </c>
      <c r="S173" s="398" t="s">
        <v>281</v>
      </c>
      <c r="T173" s="400">
        <v>40</v>
      </c>
      <c r="U173" s="400">
        <v>50</v>
      </c>
      <c r="V173" s="400">
        <v>45</v>
      </c>
    </row>
    <row r="174" spans="17:22" ht="15" customHeight="1" hidden="1">
      <c r="Q174" s="398">
        <v>105</v>
      </c>
      <c r="R174" s="398" t="s">
        <v>254</v>
      </c>
      <c r="S174" s="398" t="s">
        <v>281</v>
      </c>
      <c r="T174" s="400">
        <v>40</v>
      </c>
      <c r="U174" s="400">
        <v>50</v>
      </c>
      <c r="V174" s="400">
        <v>45</v>
      </c>
    </row>
    <row r="175" spans="17:22" ht="15" customHeight="1" hidden="1">
      <c r="Q175" s="398">
        <v>106</v>
      </c>
      <c r="R175" s="398" t="s">
        <v>259</v>
      </c>
      <c r="S175" s="398" t="s">
        <v>281</v>
      </c>
      <c r="T175" s="400">
        <v>40</v>
      </c>
      <c r="U175" s="400">
        <v>50</v>
      </c>
      <c r="V175" s="400">
        <v>45</v>
      </c>
    </row>
    <row r="176" spans="17:22" ht="15" customHeight="1" hidden="1">
      <c r="Q176" s="398">
        <v>107</v>
      </c>
      <c r="R176" s="398" t="s">
        <v>266</v>
      </c>
      <c r="S176" s="398" t="s">
        <v>281</v>
      </c>
      <c r="T176" s="400">
        <v>40</v>
      </c>
      <c r="U176" s="400">
        <v>50</v>
      </c>
      <c r="V176" s="400">
        <v>45</v>
      </c>
    </row>
    <row r="177" spans="17:22" ht="15" customHeight="1" hidden="1">
      <c r="Q177" s="398">
        <v>108</v>
      </c>
      <c r="R177" s="398" t="s">
        <v>260</v>
      </c>
      <c r="S177" s="398" t="s">
        <v>281</v>
      </c>
      <c r="T177" s="400">
        <v>40</v>
      </c>
      <c r="U177" s="400">
        <v>50</v>
      </c>
      <c r="V177" s="400">
        <v>45</v>
      </c>
    </row>
    <row r="178" spans="17:22" ht="15" customHeight="1" hidden="1">
      <c r="Q178" s="398">
        <v>109</v>
      </c>
      <c r="R178" s="398" t="s">
        <v>258</v>
      </c>
      <c r="S178" s="398" t="s">
        <v>282</v>
      </c>
      <c r="T178" s="399">
        <v>30</v>
      </c>
      <c r="U178" s="400">
        <v>50</v>
      </c>
      <c r="V178" s="400">
        <v>45</v>
      </c>
    </row>
    <row r="179" spans="17:22" ht="15" customHeight="1" hidden="1">
      <c r="Q179" s="398">
        <v>110</v>
      </c>
      <c r="R179" s="398" t="s">
        <v>267</v>
      </c>
      <c r="S179" s="398" t="s">
        <v>282</v>
      </c>
      <c r="T179" s="399">
        <v>30</v>
      </c>
      <c r="U179" s="400">
        <v>50</v>
      </c>
      <c r="V179" s="400">
        <v>45</v>
      </c>
    </row>
    <row r="180" spans="17:22" ht="15" customHeight="1" hidden="1">
      <c r="Q180" s="398">
        <v>111</v>
      </c>
      <c r="R180" s="398" t="s">
        <v>271</v>
      </c>
      <c r="S180" s="398" t="s">
        <v>282</v>
      </c>
      <c r="T180" s="399">
        <v>30</v>
      </c>
      <c r="U180" s="400">
        <v>50</v>
      </c>
      <c r="V180" s="400">
        <v>45</v>
      </c>
    </row>
    <row r="181" spans="17:22" ht="15" customHeight="1" hidden="1">
      <c r="Q181" s="398">
        <v>112</v>
      </c>
      <c r="R181" s="398" t="s">
        <v>256</v>
      </c>
      <c r="S181" s="398" t="s">
        <v>282</v>
      </c>
      <c r="T181" s="399">
        <v>30</v>
      </c>
      <c r="U181" s="400">
        <v>50</v>
      </c>
      <c r="V181" s="400">
        <v>45</v>
      </c>
    </row>
    <row r="182" spans="17:22" ht="15" customHeight="1" hidden="1">
      <c r="Q182" s="398">
        <v>113</v>
      </c>
      <c r="R182" s="398" t="s">
        <v>255</v>
      </c>
      <c r="S182" s="398" t="s">
        <v>282</v>
      </c>
      <c r="T182" s="399">
        <v>30</v>
      </c>
      <c r="U182" s="400">
        <v>50</v>
      </c>
      <c r="V182" s="400">
        <v>45</v>
      </c>
    </row>
    <row r="183" spans="17:22" ht="15" customHeight="1" hidden="1">
      <c r="Q183" s="398">
        <v>114</v>
      </c>
      <c r="R183" s="398" t="s">
        <v>265</v>
      </c>
      <c r="S183" s="398" t="s">
        <v>282</v>
      </c>
      <c r="T183" s="399">
        <v>30</v>
      </c>
      <c r="U183" s="400">
        <v>50</v>
      </c>
      <c r="V183" s="400">
        <v>45</v>
      </c>
    </row>
    <row r="184" spans="17:22" ht="15" customHeight="1" hidden="1">
      <c r="Q184" s="398">
        <v>115</v>
      </c>
      <c r="R184" s="398" t="s">
        <v>257</v>
      </c>
      <c r="S184" s="398" t="s">
        <v>282</v>
      </c>
      <c r="T184" s="399">
        <v>30</v>
      </c>
      <c r="U184" s="400">
        <v>50</v>
      </c>
      <c r="V184" s="400">
        <v>45</v>
      </c>
    </row>
    <row r="185" spans="17:22" ht="15" customHeight="1" hidden="1">
      <c r="Q185" s="398">
        <v>116</v>
      </c>
      <c r="R185" s="398" t="s">
        <v>262</v>
      </c>
      <c r="S185" s="398" t="s">
        <v>282</v>
      </c>
      <c r="T185" s="399">
        <v>30</v>
      </c>
      <c r="U185" s="400">
        <v>50</v>
      </c>
      <c r="V185" s="400">
        <v>45</v>
      </c>
    </row>
    <row r="186" spans="17:22" ht="15" customHeight="1" hidden="1">
      <c r="Q186" s="398">
        <v>117</v>
      </c>
      <c r="R186" s="398" t="s">
        <v>270</v>
      </c>
      <c r="S186" s="398" t="s">
        <v>282</v>
      </c>
      <c r="T186" s="399">
        <v>30</v>
      </c>
      <c r="U186" s="400">
        <v>50</v>
      </c>
      <c r="V186" s="400">
        <v>45</v>
      </c>
    </row>
    <row r="187" spans="17:22" ht="15" customHeight="1" hidden="1">
      <c r="Q187" s="398">
        <v>118</v>
      </c>
      <c r="R187" s="398" t="s">
        <v>261</v>
      </c>
      <c r="S187" s="398" t="s">
        <v>282</v>
      </c>
      <c r="T187" s="399">
        <v>30</v>
      </c>
      <c r="U187" s="400">
        <v>50</v>
      </c>
      <c r="V187" s="400">
        <v>45</v>
      </c>
    </row>
    <row r="188" spans="17:22" ht="15" customHeight="1" hidden="1">
      <c r="Q188" s="398">
        <v>119</v>
      </c>
      <c r="R188" s="398" t="s">
        <v>268</v>
      </c>
      <c r="S188" s="398" t="s">
        <v>282</v>
      </c>
      <c r="T188" s="399">
        <v>30</v>
      </c>
      <c r="U188" s="400">
        <v>50</v>
      </c>
      <c r="V188" s="400">
        <v>45</v>
      </c>
    </row>
    <row r="189" spans="17:22" ht="15" customHeight="1" hidden="1">
      <c r="Q189" s="398">
        <v>120</v>
      </c>
      <c r="R189" s="398" t="s">
        <v>269</v>
      </c>
      <c r="S189" s="398" t="s">
        <v>282</v>
      </c>
      <c r="T189" s="399">
        <v>30</v>
      </c>
      <c r="U189" s="400">
        <v>50</v>
      </c>
      <c r="V189" s="400">
        <v>45</v>
      </c>
    </row>
    <row r="190" spans="17:22" ht="15" customHeight="1" hidden="1">
      <c r="Q190" s="398">
        <v>121</v>
      </c>
      <c r="R190" s="398" t="s">
        <v>263</v>
      </c>
      <c r="S190" s="398" t="s">
        <v>282</v>
      </c>
      <c r="T190" s="399">
        <v>30</v>
      </c>
      <c r="U190" s="400">
        <v>50</v>
      </c>
      <c r="V190" s="400">
        <v>45</v>
      </c>
    </row>
    <row r="191" spans="17:22" ht="15" customHeight="1" hidden="1">
      <c r="Q191" s="398">
        <v>122</v>
      </c>
      <c r="R191" s="398" t="s">
        <v>264</v>
      </c>
      <c r="S191" s="398" t="s">
        <v>282</v>
      </c>
      <c r="T191" s="399">
        <v>30</v>
      </c>
      <c r="U191" s="400">
        <v>50</v>
      </c>
      <c r="V191" s="400">
        <v>45</v>
      </c>
    </row>
    <row r="192" spans="17:22" ht="15" customHeight="1" hidden="1">
      <c r="Q192" s="398">
        <v>123</v>
      </c>
      <c r="R192" s="398" t="s">
        <v>254</v>
      </c>
      <c r="S192" s="398" t="s">
        <v>282</v>
      </c>
      <c r="T192" s="399">
        <v>30</v>
      </c>
      <c r="U192" s="400">
        <v>50</v>
      </c>
      <c r="V192" s="400">
        <v>45</v>
      </c>
    </row>
    <row r="193" spans="17:22" ht="15" customHeight="1" hidden="1">
      <c r="Q193" s="398">
        <v>124</v>
      </c>
      <c r="R193" s="398" t="s">
        <v>259</v>
      </c>
      <c r="S193" s="398" t="s">
        <v>282</v>
      </c>
      <c r="T193" s="399">
        <v>30</v>
      </c>
      <c r="U193" s="400">
        <v>50</v>
      </c>
      <c r="V193" s="400">
        <v>45</v>
      </c>
    </row>
    <row r="194" spans="17:22" ht="15" customHeight="1" hidden="1">
      <c r="Q194" s="398">
        <v>125</v>
      </c>
      <c r="R194" s="398" t="s">
        <v>266</v>
      </c>
      <c r="S194" s="398" t="s">
        <v>282</v>
      </c>
      <c r="T194" s="399">
        <v>30</v>
      </c>
      <c r="U194" s="400">
        <v>50</v>
      </c>
      <c r="V194" s="400">
        <v>45</v>
      </c>
    </row>
    <row r="195" spans="17:22" ht="15" customHeight="1" hidden="1">
      <c r="Q195" s="398">
        <v>126</v>
      </c>
      <c r="R195" s="398" t="s">
        <v>260</v>
      </c>
      <c r="S195" s="398" t="s">
        <v>282</v>
      </c>
      <c r="T195" s="399">
        <v>30</v>
      </c>
      <c r="U195" s="400">
        <v>50</v>
      </c>
      <c r="V195" s="400">
        <v>45</v>
      </c>
    </row>
    <row r="196" spans="17:22" ht="15" customHeight="1" hidden="1">
      <c r="Q196" s="398">
        <v>127</v>
      </c>
      <c r="R196" s="398" t="s">
        <v>258</v>
      </c>
      <c r="S196" s="398" t="s">
        <v>283</v>
      </c>
      <c r="T196" s="399">
        <v>30</v>
      </c>
      <c r="U196" s="400">
        <v>50</v>
      </c>
      <c r="V196" s="400">
        <v>45</v>
      </c>
    </row>
    <row r="197" spans="17:22" ht="15" customHeight="1" hidden="1">
      <c r="Q197" s="398">
        <v>128</v>
      </c>
      <c r="R197" s="398" t="s">
        <v>267</v>
      </c>
      <c r="S197" s="398" t="s">
        <v>283</v>
      </c>
      <c r="T197" s="399">
        <v>30</v>
      </c>
      <c r="U197" s="400">
        <v>50</v>
      </c>
      <c r="V197" s="400">
        <v>45</v>
      </c>
    </row>
    <row r="198" spans="17:22" ht="15" customHeight="1" hidden="1">
      <c r="Q198" s="398">
        <v>129</v>
      </c>
      <c r="R198" s="398" t="s">
        <v>271</v>
      </c>
      <c r="S198" s="398" t="s">
        <v>283</v>
      </c>
      <c r="T198" s="399">
        <v>30</v>
      </c>
      <c r="U198" s="400">
        <v>50</v>
      </c>
      <c r="V198" s="400">
        <v>45</v>
      </c>
    </row>
    <row r="199" spans="17:22" ht="15" customHeight="1" hidden="1">
      <c r="Q199" s="398">
        <v>130</v>
      </c>
      <c r="R199" s="398" t="s">
        <v>256</v>
      </c>
      <c r="S199" s="398" t="s">
        <v>283</v>
      </c>
      <c r="T199" s="399">
        <v>30</v>
      </c>
      <c r="U199" s="400">
        <v>50</v>
      </c>
      <c r="V199" s="400">
        <v>45</v>
      </c>
    </row>
    <row r="200" spans="17:22" ht="15" customHeight="1" hidden="1">
      <c r="Q200" s="398">
        <v>131</v>
      </c>
      <c r="R200" s="398" t="s">
        <v>255</v>
      </c>
      <c r="S200" s="398" t="s">
        <v>283</v>
      </c>
      <c r="T200" s="399">
        <v>30</v>
      </c>
      <c r="U200" s="400">
        <v>50</v>
      </c>
      <c r="V200" s="400">
        <v>45</v>
      </c>
    </row>
    <row r="201" spans="17:22" ht="15" customHeight="1" hidden="1">
      <c r="Q201" s="398">
        <v>132</v>
      </c>
      <c r="R201" s="398" t="s">
        <v>265</v>
      </c>
      <c r="S201" s="398" t="s">
        <v>283</v>
      </c>
      <c r="T201" s="399">
        <v>30</v>
      </c>
      <c r="U201" s="400">
        <v>50</v>
      </c>
      <c r="V201" s="400">
        <v>45</v>
      </c>
    </row>
    <row r="202" spans="17:22" ht="15" customHeight="1" hidden="1">
      <c r="Q202" s="398">
        <v>133</v>
      </c>
      <c r="R202" s="398" t="s">
        <v>257</v>
      </c>
      <c r="S202" s="398" t="s">
        <v>283</v>
      </c>
      <c r="T202" s="399">
        <v>30</v>
      </c>
      <c r="U202" s="400">
        <v>50</v>
      </c>
      <c r="V202" s="400">
        <v>45</v>
      </c>
    </row>
    <row r="203" spans="17:22" ht="15" customHeight="1" hidden="1">
      <c r="Q203" s="398">
        <v>134</v>
      </c>
      <c r="R203" s="398" t="s">
        <v>262</v>
      </c>
      <c r="S203" s="398" t="s">
        <v>283</v>
      </c>
      <c r="T203" s="399">
        <v>30</v>
      </c>
      <c r="U203" s="400">
        <v>50</v>
      </c>
      <c r="V203" s="400">
        <v>45</v>
      </c>
    </row>
    <row r="204" spans="17:22" ht="15" customHeight="1" hidden="1">
      <c r="Q204" s="398">
        <v>135</v>
      </c>
      <c r="R204" s="398" t="s">
        <v>270</v>
      </c>
      <c r="S204" s="398" t="s">
        <v>283</v>
      </c>
      <c r="T204" s="399">
        <v>30</v>
      </c>
      <c r="U204" s="400">
        <v>50</v>
      </c>
      <c r="V204" s="400">
        <v>45</v>
      </c>
    </row>
    <row r="205" spans="17:22" ht="15" customHeight="1" hidden="1">
      <c r="Q205" s="398">
        <v>136</v>
      </c>
      <c r="R205" s="398" t="s">
        <v>261</v>
      </c>
      <c r="S205" s="398" t="s">
        <v>283</v>
      </c>
      <c r="T205" s="399">
        <v>30</v>
      </c>
      <c r="U205" s="400">
        <v>50</v>
      </c>
      <c r="V205" s="400">
        <v>45</v>
      </c>
    </row>
    <row r="206" spans="17:22" ht="15" customHeight="1" hidden="1">
      <c r="Q206" s="398">
        <v>137</v>
      </c>
      <c r="R206" s="398" t="s">
        <v>268</v>
      </c>
      <c r="S206" s="398" t="s">
        <v>283</v>
      </c>
      <c r="T206" s="399">
        <v>30</v>
      </c>
      <c r="U206" s="400">
        <v>50</v>
      </c>
      <c r="V206" s="400">
        <v>45</v>
      </c>
    </row>
    <row r="207" spans="17:22" ht="15" customHeight="1" hidden="1">
      <c r="Q207" s="398">
        <v>138</v>
      </c>
      <c r="R207" s="398" t="s">
        <v>269</v>
      </c>
      <c r="S207" s="398" t="s">
        <v>283</v>
      </c>
      <c r="T207" s="399">
        <v>30</v>
      </c>
      <c r="U207" s="400">
        <v>50</v>
      </c>
      <c r="V207" s="400">
        <v>45</v>
      </c>
    </row>
    <row r="208" spans="17:22" ht="15" customHeight="1" hidden="1">
      <c r="Q208" s="398">
        <v>139</v>
      </c>
      <c r="R208" s="398" t="s">
        <v>263</v>
      </c>
      <c r="S208" s="398" t="s">
        <v>283</v>
      </c>
      <c r="T208" s="399">
        <v>30</v>
      </c>
      <c r="U208" s="400">
        <v>50</v>
      </c>
      <c r="V208" s="400">
        <v>45</v>
      </c>
    </row>
    <row r="209" spans="17:22" ht="15" customHeight="1" hidden="1">
      <c r="Q209" s="398">
        <v>140</v>
      </c>
      <c r="R209" s="398" t="s">
        <v>264</v>
      </c>
      <c r="S209" s="398" t="s">
        <v>283</v>
      </c>
      <c r="T209" s="399">
        <v>30</v>
      </c>
      <c r="U209" s="400">
        <v>50</v>
      </c>
      <c r="V209" s="400">
        <v>45</v>
      </c>
    </row>
    <row r="210" spans="17:22" ht="15" customHeight="1" hidden="1">
      <c r="Q210" s="398">
        <v>141</v>
      </c>
      <c r="R210" s="398" t="s">
        <v>254</v>
      </c>
      <c r="S210" s="398" t="s">
        <v>283</v>
      </c>
      <c r="T210" s="399">
        <v>30</v>
      </c>
      <c r="U210" s="400">
        <v>50</v>
      </c>
      <c r="V210" s="400">
        <v>45</v>
      </c>
    </row>
    <row r="211" spans="17:22" ht="15" customHeight="1" hidden="1">
      <c r="Q211" s="398">
        <v>142</v>
      </c>
      <c r="R211" s="398" t="s">
        <v>259</v>
      </c>
      <c r="S211" s="398" t="s">
        <v>283</v>
      </c>
      <c r="T211" s="399">
        <v>30</v>
      </c>
      <c r="U211" s="400">
        <v>50</v>
      </c>
      <c r="V211" s="400">
        <v>45</v>
      </c>
    </row>
    <row r="212" spans="17:22" ht="15" customHeight="1" hidden="1">
      <c r="Q212" s="398">
        <v>143</v>
      </c>
      <c r="R212" s="398" t="s">
        <v>266</v>
      </c>
      <c r="S212" s="398" t="s">
        <v>283</v>
      </c>
      <c r="T212" s="399">
        <v>30</v>
      </c>
      <c r="U212" s="400">
        <v>50</v>
      </c>
      <c r="V212" s="400">
        <v>45</v>
      </c>
    </row>
    <row r="213" spans="17:22" ht="15" customHeight="1" hidden="1">
      <c r="Q213" s="398">
        <v>144</v>
      </c>
      <c r="R213" s="398" t="s">
        <v>260</v>
      </c>
      <c r="S213" s="398" t="s">
        <v>283</v>
      </c>
      <c r="T213" s="399">
        <v>30</v>
      </c>
      <c r="U213" s="400">
        <v>50</v>
      </c>
      <c r="V213" s="400">
        <v>45</v>
      </c>
    </row>
    <row r="214" spans="17:22" ht="15" customHeight="1" hidden="1">
      <c r="Q214" s="398">
        <v>145</v>
      </c>
      <c r="R214" s="398" t="s">
        <v>258</v>
      </c>
      <c r="S214" s="398" t="s">
        <v>284</v>
      </c>
      <c r="T214" s="399">
        <v>10</v>
      </c>
      <c r="U214" s="400">
        <v>45</v>
      </c>
      <c r="V214" s="400">
        <v>40</v>
      </c>
    </row>
    <row r="215" spans="17:22" ht="15" customHeight="1" hidden="1">
      <c r="Q215" s="398">
        <v>146</v>
      </c>
      <c r="R215" s="398" t="s">
        <v>267</v>
      </c>
      <c r="S215" s="398" t="s">
        <v>284</v>
      </c>
      <c r="T215" s="399">
        <v>10</v>
      </c>
      <c r="U215" s="400">
        <v>45</v>
      </c>
      <c r="V215" s="400">
        <v>40</v>
      </c>
    </row>
    <row r="216" spans="17:22" ht="15" customHeight="1" hidden="1">
      <c r="Q216" s="398">
        <v>147</v>
      </c>
      <c r="R216" s="398" t="s">
        <v>271</v>
      </c>
      <c r="S216" s="398" t="s">
        <v>284</v>
      </c>
      <c r="T216" s="399">
        <v>20</v>
      </c>
      <c r="U216" s="400">
        <v>40</v>
      </c>
      <c r="V216" s="400">
        <v>35</v>
      </c>
    </row>
    <row r="217" spans="17:22" ht="15" customHeight="1" hidden="1">
      <c r="Q217" s="398">
        <v>148</v>
      </c>
      <c r="R217" s="398" t="s">
        <v>256</v>
      </c>
      <c r="S217" s="398" t="s">
        <v>284</v>
      </c>
      <c r="T217" s="399">
        <v>10</v>
      </c>
      <c r="U217" s="400">
        <v>35</v>
      </c>
      <c r="V217" s="400">
        <v>30</v>
      </c>
    </row>
    <row r="218" spans="17:22" ht="15" customHeight="1" hidden="1">
      <c r="Q218" s="398">
        <v>149</v>
      </c>
      <c r="R218" s="398" t="s">
        <v>255</v>
      </c>
      <c r="S218" s="398" t="s">
        <v>284</v>
      </c>
      <c r="T218" s="399">
        <v>10</v>
      </c>
      <c r="U218" s="400">
        <v>35</v>
      </c>
      <c r="V218" s="400">
        <v>35</v>
      </c>
    </row>
    <row r="219" spans="17:22" ht="15" customHeight="1" hidden="1">
      <c r="Q219" s="398">
        <v>150</v>
      </c>
      <c r="R219" s="398" t="s">
        <v>265</v>
      </c>
      <c r="S219" s="398" t="s">
        <v>284</v>
      </c>
      <c r="T219" s="399">
        <v>10</v>
      </c>
      <c r="U219" s="400">
        <v>35</v>
      </c>
      <c r="V219" s="400">
        <v>35</v>
      </c>
    </row>
    <row r="220" spans="17:22" ht="15" customHeight="1" hidden="1">
      <c r="Q220" s="398">
        <v>151</v>
      </c>
      <c r="R220" s="398" t="s">
        <v>257</v>
      </c>
      <c r="S220" s="398" t="s">
        <v>284</v>
      </c>
      <c r="T220" s="399">
        <v>10</v>
      </c>
      <c r="U220" s="400">
        <v>35</v>
      </c>
      <c r="V220" s="400">
        <v>35</v>
      </c>
    </row>
    <row r="221" spans="17:22" ht="15" customHeight="1" hidden="1">
      <c r="Q221" s="398">
        <v>152</v>
      </c>
      <c r="R221" s="398" t="s">
        <v>262</v>
      </c>
      <c r="S221" s="398" t="s">
        <v>284</v>
      </c>
      <c r="T221" s="399">
        <v>10</v>
      </c>
      <c r="U221" s="400">
        <v>30</v>
      </c>
      <c r="V221" s="400">
        <v>30</v>
      </c>
    </row>
    <row r="222" spans="17:22" ht="15" customHeight="1" hidden="1">
      <c r="Q222" s="398">
        <v>153</v>
      </c>
      <c r="R222" s="398" t="s">
        <v>270</v>
      </c>
      <c r="S222" s="398" t="s">
        <v>284</v>
      </c>
      <c r="T222" s="399">
        <v>10</v>
      </c>
      <c r="U222" s="400">
        <v>35</v>
      </c>
      <c r="V222" s="400">
        <v>30</v>
      </c>
    </row>
    <row r="223" spans="17:22" ht="15" customHeight="1" hidden="1">
      <c r="Q223" s="398">
        <v>154</v>
      </c>
      <c r="R223" s="398" t="s">
        <v>261</v>
      </c>
      <c r="S223" s="398" t="s">
        <v>284</v>
      </c>
      <c r="T223" s="399">
        <v>10</v>
      </c>
      <c r="U223" s="400">
        <v>30</v>
      </c>
      <c r="V223" s="400">
        <v>30</v>
      </c>
    </row>
    <row r="224" spans="17:22" ht="15" customHeight="1" hidden="1">
      <c r="Q224" s="398">
        <v>155</v>
      </c>
      <c r="R224" s="398" t="s">
        <v>268</v>
      </c>
      <c r="S224" s="398" t="s">
        <v>284</v>
      </c>
      <c r="T224" s="399">
        <v>10</v>
      </c>
      <c r="U224" s="400">
        <v>35</v>
      </c>
      <c r="V224" s="400">
        <v>35</v>
      </c>
    </row>
    <row r="225" spans="17:22" ht="15" customHeight="1" hidden="1">
      <c r="Q225" s="398">
        <v>156</v>
      </c>
      <c r="R225" s="398" t="s">
        <v>269</v>
      </c>
      <c r="S225" s="398" t="s">
        <v>284</v>
      </c>
      <c r="T225" s="399">
        <v>10</v>
      </c>
      <c r="U225" s="400">
        <v>40</v>
      </c>
      <c r="V225" s="400">
        <v>40</v>
      </c>
    </row>
    <row r="226" spans="17:22" ht="15" customHeight="1" hidden="1">
      <c r="Q226" s="398">
        <v>157</v>
      </c>
      <c r="R226" s="398" t="s">
        <v>263</v>
      </c>
      <c r="S226" s="398" t="s">
        <v>284</v>
      </c>
      <c r="T226" s="399">
        <v>10</v>
      </c>
      <c r="U226" s="400">
        <v>40</v>
      </c>
      <c r="V226" s="400">
        <v>40</v>
      </c>
    </row>
    <row r="227" spans="17:22" ht="15" customHeight="1" hidden="1">
      <c r="Q227" s="398">
        <v>158</v>
      </c>
      <c r="R227" s="398" t="s">
        <v>264</v>
      </c>
      <c r="S227" s="398" t="s">
        <v>284</v>
      </c>
      <c r="T227" s="399">
        <v>10</v>
      </c>
      <c r="U227" s="400">
        <v>40</v>
      </c>
      <c r="V227" s="400">
        <v>40</v>
      </c>
    </row>
    <row r="228" spans="17:22" ht="15" customHeight="1" hidden="1">
      <c r="Q228" s="398">
        <v>159</v>
      </c>
      <c r="R228" s="398" t="s">
        <v>254</v>
      </c>
      <c r="S228" s="398" t="s">
        <v>284</v>
      </c>
      <c r="T228" s="399">
        <v>10</v>
      </c>
      <c r="U228" s="400">
        <v>40</v>
      </c>
      <c r="V228" s="400">
        <v>35</v>
      </c>
    </row>
    <row r="229" spans="17:22" ht="15" customHeight="1" hidden="1">
      <c r="Q229" s="398">
        <v>160</v>
      </c>
      <c r="R229" s="398" t="s">
        <v>259</v>
      </c>
      <c r="S229" s="398" t="s">
        <v>284</v>
      </c>
      <c r="T229" s="399">
        <v>20</v>
      </c>
      <c r="U229" s="400">
        <v>40</v>
      </c>
      <c r="V229" s="400">
        <v>40</v>
      </c>
    </row>
    <row r="230" spans="17:22" ht="15" customHeight="1" hidden="1">
      <c r="Q230" s="398">
        <v>161</v>
      </c>
      <c r="R230" s="398" t="s">
        <v>266</v>
      </c>
      <c r="S230" s="398" t="s">
        <v>284</v>
      </c>
      <c r="T230" s="399">
        <v>10</v>
      </c>
      <c r="U230" s="400">
        <v>40</v>
      </c>
      <c r="V230" s="400">
        <v>40</v>
      </c>
    </row>
    <row r="231" spans="17:22" ht="15" customHeight="1" hidden="1">
      <c r="Q231" s="398">
        <v>162</v>
      </c>
      <c r="R231" s="398" t="s">
        <v>260</v>
      </c>
      <c r="S231" s="398" t="s">
        <v>284</v>
      </c>
      <c r="T231" s="399">
        <v>10</v>
      </c>
      <c r="U231" s="400">
        <v>45</v>
      </c>
      <c r="V231" s="400">
        <v>40</v>
      </c>
    </row>
    <row r="232" spans="17:22" ht="15" customHeight="1" hidden="1">
      <c r="Q232" s="398">
        <v>163</v>
      </c>
      <c r="R232" s="398" t="s">
        <v>258</v>
      </c>
      <c r="S232" s="398" t="s">
        <v>285</v>
      </c>
      <c r="T232" s="399">
        <v>30</v>
      </c>
      <c r="U232" s="400">
        <v>50</v>
      </c>
      <c r="V232" s="400">
        <v>45</v>
      </c>
    </row>
    <row r="233" spans="17:22" ht="15" customHeight="1" hidden="1">
      <c r="Q233" s="398">
        <v>164</v>
      </c>
      <c r="R233" s="398" t="s">
        <v>267</v>
      </c>
      <c r="S233" s="398" t="s">
        <v>285</v>
      </c>
      <c r="T233" s="399">
        <v>30</v>
      </c>
      <c r="U233" s="400">
        <v>50</v>
      </c>
      <c r="V233" s="400">
        <v>45</v>
      </c>
    </row>
    <row r="234" spans="17:22" ht="15" customHeight="1" hidden="1">
      <c r="Q234" s="398">
        <v>165</v>
      </c>
      <c r="R234" s="398" t="s">
        <v>271</v>
      </c>
      <c r="S234" s="398" t="s">
        <v>285</v>
      </c>
      <c r="T234" s="399">
        <v>30</v>
      </c>
      <c r="U234" s="400">
        <v>50</v>
      </c>
      <c r="V234" s="400">
        <v>45</v>
      </c>
    </row>
    <row r="235" spans="17:22" ht="15" customHeight="1" hidden="1">
      <c r="Q235" s="398">
        <v>166</v>
      </c>
      <c r="R235" s="398" t="s">
        <v>256</v>
      </c>
      <c r="S235" s="398" t="s">
        <v>285</v>
      </c>
      <c r="T235" s="399">
        <v>30</v>
      </c>
      <c r="U235" s="400">
        <v>50</v>
      </c>
      <c r="V235" s="400">
        <v>45</v>
      </c>
    </row>
    <row r="236" spans="17:22" ht="15" customHeight="1" hidden="1">
      <c r="Q236" s="398">
        <v>167</v>
      </c>
      <c r="R236" s="398" t="s">
        <v>255</v>
      </c>
      <c r="S236" s="398" t="s">
        <v>285</v>
      </c>
      <c r="T236" s="399">
        <v>30</v>
      </c>
      <c r="U236" s="400">
        <v>50</v>
      </c>
      <c r="V236" s="400">
        <v>45</v>
      </c>
    </row>
    <row r="237" spans="17:22" ht="15" customHeight="1" hidden="1">
      <c r="Q237" s="398">
        <v>168</v>
      </c>
      <c r="R237" s="398" t="s">
        <v>265</v>
      </c>
      <c r="S237" s="398" t="s">
        <v>285</v>
      </c>
      <c r="T237" s="399">
        <v>30</v>
      </c>
      <c r="U237" s="400">
        <v>50</v>
      </c>
      <c r="V237" s="400">
        <v>45</v>
      </c>
    </row>
    <row r="238" spans="17:22" ht="15" customHeight="1" hidden="1">
      <c r="Q238" s="398">
        <v>169</v>
      </c>
      <c r="R238" s="398" t="s">
        <v>257</v>
      </c>
      <c r="S238" s="398" t="s">
        <v>285</v>
      </c>
      <c r="T238" s="399">
        <v>30</v>
      </c>
      <c r="U238" s="400">
        <v>50</v>
      </c>
      <c r="V238" s="400">
        <v>45</v>
      </c>
    </row>
    <row r="239" spans="17:22" ht="15" customHeight="1" hidden="1">
      <c r="Q239" s="398">
        <v>170</v>
      </c>
      <c r="R239" s="398" t="s">
        <v>262</v>
      </c>
      <c r="S239" s="398" t="s">
        <v>285</v>
      </c>
      <c r="T239" s="399">
        <v>30</v>
      </c>
      <c r="U239" s="400">
        <v>50</v>
      </c>
      <c r="V239" s="400">
        <v>45</v>
      </c>
    </row>
    <row r="240" spans="17:22" ht="15" customHeight="1" hidden="1">
      <c r="Q240" s="398">
        <v>171</v>
      </c>
      <c r="R240" s="398" t="s">
        <v>270</v>
      </c>
      <c r="S240" s="398" t="s">
        <v>285</v>
      </c>
      <c r="T240" s="399">
        <v>30</v>
      </c>
      <c r="U240" s="400">
        <v>50</v>
      </c>
      <c r="V240" s="400">
        <v>45</v>
      </c>
    </row>
    <row r="241" spans="17:22" ht="15" customHeight="1" hidden="1">
      <c r="Q241" s="398">
        <v>172</v>
      </c>
      <c r="R241" s="398" t="s">
        <v>261</v>
      </c>
      <c r="S241" s="398" t="s">
        <v>285</v>
      </c>
      <c r="T241" s="399">
        <v>30</v>
      </c>
      <c r="U241" s="400">
        <v>50</v>
      </c>
      <c r="V241" s="400">
        <v>45</v>
      </c>
    </row>
    <row r="242" spans="17:22" ht="15" customHeight="1" hidden="1">
      <c r="Q242" s="398">
        <v>173</v>
      </c>
      <c r="R242" s="398" t="s">
        <v>268</v>
      </c>
      <c r="S242" s="398" t="s">
        <v>285</v>
      </c>
      <c r="T242" s="399">
        <v>30</v>
      </c>
      <c r="U242" s="400">
        <v>50</v>
      </c>
      <c r="V242" s="400">
        <v>45</v>
      </c>
    </row>
    <row r="243" spans="17:22" ht="15" customHeight="1" hidden="1">
      <c r="Q243" s="398">
        <v>174</v>
      </c>
      <c r="R243" s="398" t="s">
        <v>269</v>
      </c>
      <c r="S243" s="398" t="s">
        <v>285</v>
      </c>
      <c r="T243" s="399">
        <v>30</v>
      </c>
      <c r="U243" s="400">
        <v>50</v>
      </c>
      <c r="V243" s="400">
        <v>45</v>
      </c>
    </row>
    <row r="244" spans="17:22" ht="15" customHeight="1" hidden="1">
      <c r="Q244" s="398">
        <v>175</v>
      </c>
      <c r="R244" s="398" t="s">
        <v>263</v>
      </c>
      <c r="S244" s="398" t="s">
        <v>285</v>
      </c>
      <c r="T244" s="399">
        <v>30</v>
      </c>
      <c r="U244" s="400">
        <v>50</v>
      </c>
      <c r="V244" s="400">
        <v>45</v>
      </c>
    </row>
    <row r="245" spans="17:22" ht="15" customHeight="1" hidden="1">
      <c r="Q245" s="398">
        <v>176</v>
      </c>
      <c r="R245" s="398" t="s">
        <v>264</v>
      </c>
      <c r="S245" s="398" t="s">
        <v>285</v>
      </c>
      <c r="T245" s="399">
        <v>30</v>
      </c>
      <c r="U245" s="400">
        <v>50</v>
      </c>
      <c r="V245" s="400">
        <v>45</v>
      </c>
    </row>
    <row r="246" spans="17:22" ht="15" customHeight="1" hidden="1">
      <c r="Q246" s="398">
        <v>177</v>
      </c>
      <c r="R246" s="398" t="s">
        <v>254</v>
      </c>
      <c r="S246" s="398" t="s">
        <v>285</v>
      </c>
      <c r="T246" s="399">
        <v>30</v>
      </c>
      <c r="U246" s="400">
        <v>50</v>
      </c>
      <c r="V246" s="400">
        <v>45</v>
      </c>
    </row>
    <row r="247" spans="17:22" ht="15" customHeight="1" hidden="1">
      <c r="Q247" s="398">
        <v>178</v>
      </c>
      <c r="R247" s="398" t="s">
        <v>259</v>
      </c>
      <c r="S247" s="398" t="s">
        <v>285</v>
      </c>
      <c r="T247" s="399">
        <v>30</v>
      </c>
      <c r="U247" s="400">
        <v>50</v>
      </c>
      <c r="V247" s="400">
        <v>45</v>
      </c>
    </row>
    <row r="248" spans="17:22" ht="15" customHeight="1" hidden="1">
      <c r="Q248" s="398">
        <v>179</v>
      </c>
      <c r="R248" s="398" t="s">
        <v>266</v>
      </c>
      <c r="S248" s="398" t="s">
        <v>285</v>
      </c>
      <c r="T248" s="399">
        <v>30</v>
      </c>
      <c r="U248" s="400">
        <v>50</v>
      </c>
      <c r="V248" s="400">
        <v>45</v>
      </c>
    </row>
    <row r="249" spans="17:22" ht="15" customHeight="1" hidden="1">
      <c r="Q249" s="398">
        <v>180</v>
      </c>
      <c r="R249" s="398" t="s">
        <v>260</v>
      </c>
      <c r="S249" s="398" t="s">
        <v>285</v>
      </c>
      <c r="T249" s="399">
        <v>30</v>
      </c>
      <c r="U249" s="400">
        <v>50</v>
      </c>
      <c r="V249" s="400">
        <v>45</v>
      </c>
    </row>
    <row r="250" spans="17:22" ht="15" customHeight="1" hidden="1">
      <c r="Q250" s="398">
        <v>181</v>
      </c>
      <c r="R250" s="398" t="s">
        <v>258</v>
      </c>
      <c r="S250" s="398" t="s">
        <v>286</v>
      </c>
      <c r="T250" s="399">
        <v>35</v>
      </c>
      <c r="U250" s="400">
        <v>50</v>
      </c>
      <c r="V250" s="400">
        <v>45</v>
      </c>
    </row>
    <row r="251" spans="17:22" ht="15" customHeight="1" hidden="1">
      <c r="Q251" s="398">
        <v>182</v>
      </c>
      <c r="R251" s="398" t="s">
        <v>267</v>
      </c>
      <c r="S251" s="398" t="s">
        <v>286</v>
      </c>
      <c r="T251" s="399">
        <v>35</v>
      </c>
      <c r="U251" s="400">
        <v>50</v>
      </c>
      <c r="V251" s="400">
        <v>45</v>
      </c>
    </row>
    <row r="252" spans="17:22" ht="15" customHeight="1" hidden="1">
      <c r="Q252" s="398">
        <v>183</v>
      </c>
      <c r="R252" s="398" t="s">
        <v>271</v>
      </c>
      <c r="S252" s="398" t="s">
        <v>286</v>
      </c>
      <c r="T252" s="399">
        <v>35</v>
      </c>
      <c r="U252" s="400">
        <v>50</v>
      </c>
      <c r="V252" s="400">
        <v>45</v>
      </c>
    </row>
    <row r="253" spans="17:22" ht="15" customHeight="1" hidden="1">
      <c r="Q253" s="398">
        <v>184</v>
      </c>
      <c r="R253" s="398" t="s">
        <v>256</v>
      </c>
      <c r="S253" s="398" t="s">
        <v>286</v>
      </c>
      <c r="T253" s="399">
        <v>30</v>
      </c>
      <c r="U253" s="400">
        <v>50</v>
      </c>
      <c r="V253" s="400">
        <v>45</v>
      </c>
    </row>
    <row r="254" spans="17:22" ht="15" customHeight="1" hidden="1">
      <c r="Q254" s="398">
        <v>185</v>
      </c>
      <c r="R254" s="398" t="s">
        <v>255</v>
      </c>
      <c r="S254" s="398" t="s">
        <v>286</v>
      </c>
      <c r="T254" s="399">
        <v>30</v>
      </c>
      <c r="U254" s="400">
        <v>50</v>
      </c>
      <c r="V254" s="400">
        <v>45</v>
      </c>
    </row>
    <row r="255" spans="17:22" ht="15" customHeight="1" hidden="1">
      <c r="Q255" s="398">
        <v>186</v>
      </c>
      <c r="R255" s="398" t="s">
        <v>265</v>
      </c>
      <c r="S255" s="398" t="s">
        <v>286</v>
      </c>
      <c r="T255" s="399">
        <v>30</v>
      </c>
      <c r="U255" s="400">
        <v>50</v>
      </c>
      <c r="V255" s="400">
        <v>45</v>
      </c>
    </row>
    <row r="256" spans="17:22" ht="15" customHeight="1" hidden="1">
      <c r="Q256" s="398">
        <v>187</v>
      </c>
      <c r="R256" s="398" t="s">
        <v>257</v>
      </c>
      <c r="S256" s="398" t="s">
        <v>286</v>
      </c>
      <c r="T256" s="399">
        <v>30</v>
      </c>
      <c r="U256" s="400">
        <v>50</v>
      </c>
      <c r="V256" s="400">
        <v>45</v>
      </c>
    </row>
    <row r="257" spans="17:22" ht="15" customHeight="1" hidden="1">
      <c r="Q257" s="398">
        <v>188</v>
      </c>
      <c r="R257" s="398" t="s">
        <v>262</v>
      </c>
      <c r="S257" s="398" t="s">
        <v>286</v>
      </c>
      <c r="T257" s="399">
        <v>30</v>
      </c>
      <c r="U257" s="400">
        <v>50</v>
      </c>
      <c r="V257" s="400">
        <v>45</v>
      </c>
    </row>
    <row r="258" spans="17:22" ht="15" customHeight="1" hidden="1">
      <c r="Q258" s="398">
        <v>189</v>
      </c>
      <c r="R258" s="398" t="s">
        <v>270</v>
      </c>
      <c r="S258" s="398" t="s">
        <v>286</v>
      </c>
      <c r="T258" s="399">
        <v>30</v>
      </c>
      <c r="U258" s="400">
        <v>50</v>
      </c>
      <c r="V258" s="400">
        <v>45</v>
      </c>
    </row>
    <row r="259" spans="17:22" ht="15" customHeight="1" hidden="1">
      <c r="Q259" s="398">
        <v>190</v>
      </c>
      <c r="R259" s="398" t="s">
        <v>261</v>
      </c>
      <c r="S259" s="398" t="s">
        <v>286</v>
      </c>
      <c r="T259" s="399">
        <v>30</v>
      </c>
      <c r="U259" s="400">
        <v>50</v>
      </c>
      <c r="V259" s="400">
        <v>45</v>
      </c>
    </row>
    <row r="260" spans="17:22" ht="15" customHeight="1" hidden="1">
      <c r="Q260" s="398">
        <v>191</v>
      </c>
      <c r="R260" s="398" t="s">
        <v>268</v>
      </c>
      <c r="S260" s="398" t="s">
        <v>286</v>
      </c>
      <c r="T260" s="399">
        <v>30</v>
      </c>
      <c r="U260" s="400">
        <v>50</v>
      </c>
      <c r="V260" s="400">
        <v>45</v>
      </c>
    </row>
    <row r="261" spans="17:22" ht="15" customHeight="1" hidden="1">
      <c r="Q261" s="398">
        <v>192</v>
      </c>
      <c r="R261" s="398" t="s">
        <v>269</v>
      </c>
      <c r="S261" s="398" t="s">
        <v>286</v>
      </c>
      <c r="T261" s="399">
        <v>30</v>
      </c>
      <c r="U261" s="400">
        <v>50</v>
      </c>
      <c r="V261" s="400">
        <v>45</v>
      </c>
    </row>
    <row r="262" spans="17:22" ht="15" customHeight="1" hidden="1">
      <c r="Q262" s="398">
        <v>193</v>
      </c>
      <c r="R262" s="398" t="s">
        <v>263</v>
      </c>
      <c r="S262" s="398" t="s">
        <v>286</v>
      </c>
      <c r="T262" s="399">
        <v>35</v>
      </c>
      <c r="U262" s="400">
        <v>50</v>
      </c>
      <c r="V262" s="400">
        <v>45</v>
      </c>
    </row>
    <row r="263" spans="17:22" ht="15" customHeight="1" hidden="1">
      <c r="Q263" s="398">
        <v>194</v>
      </c>
      <c r="R263" s="398" t="s">
        <v>264</v>
      </c>
      <c r="S263" s="398" t="s">
        <v>286</v>
      </c>
      <c r="T263" s="399">
        <v>30</v>
      </c>
      <c r="U263" s="400">
        <v>50</v>
      </c>
      <c r="V263" s="400">
        <v>45</v>
      </c>
    </row>
    <row r="264" spans="17:22" ht="15" customHeight="1" hidden="1">
      <c r="Q264" s="398">
        <v>195</v>
      </c>
      <c r="R264" s="398" t="s">
        <v>254</v>
      </c>
      <c r="S264" s="398" t="s">
        <v>286</v>
      </c>
      <c r="T264" s="399">
        <v>35</v>
      </c>
      <c r="U264" s="400">
        <v>50</v>
      </c>
      <c r="V264" s="400">
        <v>45</v>
      </c>
    </row>
    <row r="265" spans="17:22" ht="15" customHeight="1" hidden="1">
      <c r="Q265" s="398">
        <v>196</v>
      </c>
      <c r="R265" s="398" t="s">
        <v>259</v>
      </c>
      <c r="S265" s="398" t="s">
        <v>286</v>
      </c>
      <c r="T265" s="399">
        <v>35</v>
      </c>
      <c r="U265" s="400">
        <v>50</v>
      </c>
      <c r="V265" s="400">
        <v>45</v>
      </c>
    </row>
    <row r="266" spans="17:22" ht="15" customHeight="1" hidden="1">
      <c r="Q266" s="398">
        <v>197</v>
      </c>
      <c r="R266" s="398" t="s">
        <v>266</v>
      </c>
      <c r="S266" s="398" t="s">
        <v>286</v>
      </c>
      <c r="T266" s="399">
        <v>30</v>
      </c>
      <c r="U266" s="400">
        <v>50</v>
      </c>
      <c r="V266" s="400">
        <v>45</v>
      </c>
    </row>
    <row r="267" spans="17:22" ht="15" customHeight="1" hidden="1">
      <c r="Q267" s="398">
        <v>198</v>
      </c>
      <c r="R267" s="398" t="s">
        <v>260</v>
      </c>
      <c r="S267" s="398" t="s">
        <v>286</v>
      </c>
      <c r="T267" s="399">
        <v>30</v>
      </c>
      <c r="U267" s="400">
        <v>50</v>
      </c>
      <c r="V267" s="400">
        <v>45</v>
      </c>
    </row>
    <row r="268" spans="17:22" ht="15" customHeight="1" hidden="1">
      <c r="Q268" s="398">
        <v>199</v>
      </c>
      <c r="R268" s="398" t="s">
        <v>258</v>
      </c>
      <c r="S268" s="398" t="s">
        <v>287</v>
      </c>
      <c r="T268" s="399">
        <v>10</v>
      </c>
      <c r="U268" s="400">
        <v>20</v>
      </c>
      <c r="V268" s="400">
        <v>25</v>
      </c>
    </row>
    <row r="269" spans="17:22" ht="15" customHeight="1" hidden="1">
      <c r="Q269" s="398">
        <v>200</v>
      </c>
      <c r="R269" s="398" t="s">
        <v>267</v>
      </c>
      <c r="S269" s="398" t="s">
        <v>287</v>
      </c>
      <c r="T269" s="399">
        <v>10</v>
      </c>
      <c r="U269" s="400">
        <v>20</v>
      </c>
      <c r="V269" s="400">
        <v>25</v>
      </c>
    </row>
    <row r="270" spans="17:22" ht="15" customHeight="1" hidden="1">
      <c r="Q270" s="398">
        <v>201</v>
      </c>
      <c r="R270" s="398" t="s">
        <v>271</v>
      </c>
      <c r="S270" s="398" t="s">
        <v>287</v>
      </c>
      <c r="T270" s="399">
        <v>10</v>
      </c>
      <c r="U270" s="400">
        <v>25</v>
      </c>
      <c r="V270" s="400">
        <v>25</v>
      </c>
    </row>
    <row r="271" spans="17:22" ht="15" customHeight="1" hidden="1">
      <c r="Q271" s="398">
        <v>202</v>
      </c>
      <c r="R271" s="398" t="s">
        <v>256</v>
      </c>
      <c r="S271" s="398" t="s">
        <v>287</v>
      </c>
      <c r="T271" s="399">
        <v>10</v>
      </c>
      <c r="U271" s="400">
        <v>25</v>
      </c>
      <c r="V271" s="400">
        <v>25</v>
      </c>
    </row>
    <row r="272" spans="17:22" ht="15" customHeight="1" hidden="1">
      <c r="Q272" s="398">
        <v>203</v>
      </c>
      <c r="R272" s="398" t="s">
        <v>255</v>
      </c>
      <c r="S272" s="398" t="s">
        <v>287</v>
      </c>
      <c r="T272" s="399">
        <v>10</v>
      </c>
      <c r="U272" s="400">
        <v>25</v>
      </c>
      <c r="V272" s="400">
        <v>25</v>
      </c>
    </row>
    <row r="273" spans="17:22" ht="15" customHeight="1" hidden="1">
      <c r="Q273" s="398">
        <v>204</v>
      </c>
      <c r="R273" s="398" t="s">
        <v>265</v>
      </c>
      <c r="S273" s="398" t="s">
        <v>287</v>
      </c>
      <c r="T273" s="399">
        <v>10</v>
      </c>
      <c r="U273" s="400">
        <v>25</v>
      </c>
      <c r="V273" s="400">
        <v>25</v>
      </c>
    </row>
    <row r="274" spans="17:22" ht="15" customHeight="1" hidden="1">
      <c r="Q274" s="398">
        <v>205</v>
      </c>
      <c r="R274" s="398" t="s">
        <v>257</v>
      </c>
      <c r="S274" s="398" t="s">
        <v>287</v>
      </c>
      <c r="T274" s="399">
        <v>10</v>
      </c>
      <c r="U274" s="400">
        <v>25</v>
      </c>
      <c r="V274" s="400">
        <v>25</v>
      </c>
    </row>
    <row r="275" spans="17:22" ht="15" customHeight="1" hidden="1">
      <c r="Q275" s="398">
        <v>206</v>
      </c>
      <c r="R275" s="398" t="s">
        <v>262</v>
      </c>
      <c r="S275" s="398" t="s">
        <v>287</v>
      </c>
      <c r="T275" s="399">
        <v>10</v>
      </c>
      <c r="U275" s="400">
        <v>20</v>
      </c>
      <c r="V275" s="400">
        <v>25</v>
      </c>
    </row>
    <row r="276" spans="17:22" ht="15" customHeight="1" hidden="1">
      <c r="Q276" s="398">
        <v>207</v>
      </c>
      <c r="R276" s="398" t="s">
        <v>270</v>
      </c>
      <c r="S276" s="398" t="s">
        <v>287</v>
      </c>
      <c r="T276" s="399">
        <v>10</v>
      </c>
      <c r="U276" s="400">
        <v>20</v>
      </c>
      <c r="V276" s="400">
        <v>25</v>
      </c>
    </row>
    <row r="277" spans="17:22" ht="15" customHeight="1" hidden="1">
      <c r="Q277" s="398">
        <v>208</v>
      </c>
      <c r="R277" s="398" t="s">
        <v>261</v>
      </c>
      <c r="S277" s="398" t="s">
        <v>287</v>
      </c>
      <c r="T277" s="399">
        <v>10</v>
      </c>
      <c r="U277" s="400">
        <v>20</v>
      </c>
      <c r="V277" s="400">
        <v>25</v>
      </c>
    </row>
    <row r="278" spans="17:22" ht="15" customHeight="1" hidden="1">
      <c r="Q278" s="398">
        <v>209</v>
      </c>
      <c r="R278" s="398" t="s">
        <v>268</v>
      </c>
      <c r="S278" s="398" t="s">
        <v>287</v>
      </c>
      <c r="T278" s="399">
        <v>10</v>
      </c>
      <c r="U278" s="400">
        <v>20</v>
      </c>
      <c r="V278" s="400">
        <v>25</v>
      </c>
    </row>
    <row r="279" spans="17:22" ht="15" customHeight="1" hidden="1">
      <c r="Q279" s="398">
        <v>210</v>
      </c>
      <c r="R279" s="398" t="s">
        <v>269</v>
      </c>
      <c r="S279" s="398" t="s">
        <v>287</v>
      </c>
      <c r="T279" s="399">
        <v>10</v>
      </c>
      <c r="U279" s="400">
        <v>25</v>
      </c>
      <c r="V279" s="400">
        <v>25</v>
      </c>
    </row>
    <row r="280" spans="17:22" ht="15" customHeight="1" hidden="1">
      <c r="Q280" s="398">
        <v>211</v>
      </c>
      <c r="R280" s="398" t="s">
        <v>263</v>
      </c>
      <c r="S280" s="398" t="s">
        <v>287</v>
      </c>
      <c r="T280" s="399">
        <v>10</v>
      </c>
      <c r="U280" s="400">
        <v>25</v>
      </c>
      <c r="V280" s="400">
        <v>25</v>
      </c>
    </row>
    <row r="281" spans="17:22" ht="15" customHeight="1" hidden="1">
      <c r="Q281" s="398">
        <v>212</v>
      </c>
      <c r="R281" s="398" t="s">
        <v>264</v>
      </c>
      <c r="S281" s="398" t="s">
        <v>287</v>
      </c>
      <c r="T281" s="399">
        <v>10</v>
      </c>
      <c r="U281" s="400">
        <v>25</v>
      </c>
      <c r="V281" s="400">
        <v>25</v>
      </c>
    </row>
    <row r="282" spans="17:22" ht="15" customHeight="1" hidden="1">
      <c r="Q282" s="398">
        <v>213</v>
      </c>
      <c r="R282" s="398" t="s">
        <v>254</v>
      </c>
      <c r="S282" s="398" t="s">
        <v>287</v>
      </c>
      <c r="T282" s="399">
        <v>10</v>
      </c>
      <c r="U282" s="400">
        <v>25</v>
      </c>
      <c r="V282" s="400">
        <v>25</v>
      </c>
    </row>
    <row r="283" spans="17:22" ht="15" customHeight="1" hidden="1">
      <c r="Q283" s="398">
        <v>214</v>
      </c>
      <c r="R283" s="398" t="s">
        <v>259</v>
      </c>
      <c r="S283" s="398" t="s">
        <v>287</v>
      </c>
      <c r="T283" s="399">
        <v>10</v>
      </c>
      <c r="U283" s="400">
        <v>25</v>
      </c>
      <c r="V283" s="400">
        <v>25</v>
      </c>
    </row>
    <row r="284" spans="17:22" ht="15" customHeight="1" hidden="1">
      <c r="Q284" s="398">
        <v>215</v>
      </c>
      <c r="R284" s="398" t="s">
        <v>266</v>
      </c>
      <c r="S284" s="398" t="s">
        <v>287</v>
      </c>
      <c r="T284" s="399">
        <v>10</v>
      </c>
      <c r="U284" s="400">
        <v>25</v>
      </c>
      <c r="V284" s="400">
        <v>25</v>
      </c>
    </row>
    <row r="285" spans="17:22" ht="15" customHeight="1" hidden="1">
      <c r="Q285" s="398">
        <v>216</v>
      </c>
      <c r="R285" s="398" t="s">
        <v>260</v>
      </c>
      <c r="S285" s="398" t="s">
        <v>287</v>
      </c>
      <c r="T285" s="399">
        <v>10</v>
      </c>
      <c r="U285" s="400">
        <v>25</v>
      </c>
      <c r="V285" s="400">
        <v>25</v>
      </c>
    </row>
    <row r="286" spans="17:22" ht="15" customHeight="1" hidden="1">
      <c r="Q286" s="398">
        <v>217</v>
      </c>
      <c r="R286" s="398" t="s">
        <v>258</v>
      </c>
      <c r="S286" s="398" t="s">
        <v>288</v>
      </c>
      <c r="T286" s="399">
        <v>10</v>
      </c>
      <c r="U286" s="400">
        <v>30</v>
      </c>
      <c r="V286" s="400">
        <v>35</v>
      </c>
    </row>
    <row r="287" spans="17:22" ht="15" customHeight="1" hidden="1">
      <c r="Q287" s="398">
        <v>218</v>
      </c>
      <c r="R287" s="398" t="s">
        <v>267</v>
      </c>
      <c r="S287" s="398" t="s">
        <v>288</v>
      </c>
      <c r="T287" s="399">
        <v>10</v>
      </c>
      <c r="U287" s="400">
        <v>30</v>
      </c>
      <c r="V287" s="400">
        <v>35</v>
      </c>
    </row>
    <row r="288" spans="17:22" ht="15" customHeight="1" hidden="1">
      <c r="Q288" s="398">
        <v>219</v>
      </c>
      <c r="R288" s="398" t="s">
        <v>271</v>
      </c>
      <c r="S288" s="398" t="s">
        <v>288</v>
      </c>
      <c r="T288" s="399">
        <v>10</v>
      </c>
      <c r="U288" s="400">
        <v>35</v>
      </c>
      <c r="V288" s="400">
        <v>35</v>
      </c>
    </row>
    <row r="289" spans="17:22" ht="15" customHeight="1" hidden="1">
      <c r="Q289" s="398">
        <v>220</v>
      </c>
      <c r="R289" s="398" t="s">
        <v>256</v>
      </c>
      <c r="S289" s="398" t="s">
        <v>288</v>
      </c>
      <c r="T289" s="399">
        <v>10</v>
      </c>
      <c r="U289" s="400">
        <v>35</v>
      </c>
      <c r="V289" s="400">
        <v>35</v>
      </c>
    </row>
    <row r="290" spans="17:22" ht="15" customHeight="1" hidden="1">
      <c r="Q290" s="398">
        <v>221</v>
      </c>
      <c r="R290" s="398" t="s">
        <v>255</v>
      </c>
      <c r="S290" s="398" t="s">
        <v>288</v>
      </c>
      <c r="T290" s="399">
        <v>10</v>
      </c>
      <c r="U290" s="400">
        <v>35</v>
      </c>
      <c r="V290" s="400">
        <v>35</v>
      </c>
    </row>
    <row r="291" spans="17:22" ht="15" customHeight="1" hidden="1">
      <c r="Q291" s="398">
        <v>222</v>
      </c>
      <c r="R291" s="398" t="s">
        <v>265</v>
      </c>
      <c r="S291" s="398" t="s">
        <v>288</v>
      </c>
      <c r="T291" s="399">
        <v>10</v>
      </c>
      <c r="U291" s="400">
        <v>35</v>
      </c>
      <c r="V291" s="400">
        <v>35</v>
      </c>
    </row>
    <row r="292" spans="17:22" ht="15" customHeight="1" hidden="1">
      <c r="Q292" s="398">
        <v>223</v>
      </c>
      <c r="R292" s="398" t="s">
        <v>257</v>
      </c>
      <c r="S292" s="398" t="s">
        <v>288</v>
      </c>
      <c r="T292" s="399">
        <v>10</v>
      </c>
      <c r="U292" s="400">
        <v>35</v>
      </c>
      <c r="V292" s="400">
        <v>35</v>
      </c>
    </row>
    <row r="293" spans="17:22" ht="15" customHeight="1" hidden="1">
      <c r="Q293" s="398">
        <v>224</v>
      </c>
      <c r="R293" s="398" t="s">
        <v>262</v>
      </c>
      <c r="S293" s="398" t="s">
        <v>288</v>
      </c>
      <c r="T293" s="399">
        <v>10</v>
      </c>
      <c r="U293" s="400">
        <v>30</v>
      </c>
      <c r="V293" s="400">
        <v>35</v>
      </c>
    </row>
    <row r="294" spans="17:22" ht="15" customHeight="1" hidden="1">
      <c r="Q294" s="398">
        <v>225</v>
      </c>
      <c r="R294" s="398" t="s">
        <v>270</v>
      </c>
      <c r="S294" s="398" t="s">
        <v>288</v>
      </c>
      <c r="T294" s="399">
        <v>10</v>
      </c>
      <c r="U294" s="400">
        <v>30</v>
      </c>
      <c r="V294" s="400">
        <v>35</v>
      </c>
    </row>
    <row r="295" spans="17:22" ht="15" customHeight="1" hidden="1">
      <c r="Q295" s="398">
        <v>226</v>
      </c>
      <c r="R295" s="398" t="s">
        <v>261</v>
      </c>
      <c r="S295" s="398" t="s">
        <v>288</v>
      </c>
      <c r="T295" s="399">
        <v>10</v>
      </c>
      <c r="U295" s="400">
        <v>30</v>
      </c>
      <c r="V295" s="400">
        <v>35</v>
      </c>
    </row>
    <row r="296" spans="17:22" ht="15" customHeight="1" hidden="1">
      <c r="Q296" s="398">
        <v>227</v>
      </c>
      <c r="R296" s="398" t="s">
        <v>268</v>
      </c>
      <c r="S296" s="398" t="s">
        <v>288</v>
      </c>
      <c r="T296" s="399">
        <v>10</v>
      </c>
      <c r="U296" s="400">
        <v>30</v>
      </c>
      <c r="V296" s="400">
        <v>35</v>
      </c>
    </row>
    <row r="297" spans="17:22" ht="15" customHeight="1" hidden="1">
      <c r="Q297" s="398">
        <v>228</v>
      </c>
      <c r="R297" s="398" t="s">
        <v>269</v>
      </c>
      <c r="S297" s="398" t="s">
        <v>288</v>
      </c>
      <c r="T297" s="399">
        <v>10</v>
      </c>
      <c r="U297" s="400">
        <v>35</v>
      </c>
      <c r="V297" s="400">
        <v>35</v>
      </c>
    </row>
    <row r="298" spans="17:22" ht="15" customHeight="1" hidden="1">
      <c r="Q298" s="398">
        <v>229</v>
      </c>
      <c r="R298" s="398" t="s">
        <v>263</v>
      </c>
      <c r="S298" s="398" t="s">
        <v>288</v>
      </c>
      <c r="T298" s="399">
        <v>10</v>
      </c>
      <c r="U298" s="400">
        <v>35</v>
      </c>
      <c r="V298" s="400">
        <v>35</v>
      </c>
    </row>
    <row r="299" spans="17:22" ht="15" customHeight="1" hidden="1">
      <c r="Q299" s="398">
        <v>230</v>
      </c>
      <c r="R299" s="398" t="s">
        <v>264</v>
      </c>
      <c r="S299" s="398" t="s">
        <v>288</v>
      </c>
      <c r="T299" s="399">
        <v>10</v>
      </c>
      <c r="U299" s="400">
        <v>35</v>
      </c>
      <c r="V299" s="400">
        <v>35</v>
      </c>
    </row>
    <row r="300" spans="17:22" ht="15" customHeight="1" hidden="1">
      <c r="Q300" s="398">
        <v>231</v>
      </c>
      <c r="R300" s="398" t="s">
        <v>254</v>
      </c>
      <c r="S300" s="398" t="s">
        <v>288</v>
      </c>
      <c r="T300" s="399">
        <v>10</v>
      </c>
      <c r="U300" s="400">
        <v>35</v>
      </c>
      <c r="V300" s="400">
        <v>35</v>
      </c>
    </row>
    <row r="301" spans="17:22" ht="15" customHeight="1" hidden="1">
      <c r="Q301" s="398">
        <v>232</v>
      </c>
      <c r="R301" s="398" t="s">
        <v>259</v>
      </c>
      <c r="S301" s="398" t="s">
        <v>288</v>
      </c>
      <c r="T301" s="399">
        <v>10</v>
      </c>
      <c r="U301" s="400">
        <v>35</v>
      </c>
      <c r="V301" s="400">
        <v>35</v>
      </c>
    </row>
    <row r="302" spans="17:22" ht="15" customHeight="1" hidden="1">
      <c r="Q302" s="398">
        <v>233</v>
      </c>
      <c r="R302" s="398" t="s">
        <v>266</v>
      </c>
      <c r="S302" s="398" t="s">
        <v>288</v>
      </c>
      <c r="T302" s="399">
        <v>10</v>
      </c>
      <c r="U302" s="400">
        <v>40</v>
      </c>
      <c r="V302" s="400">
        <v>35</v>
      </c>
    </row>
    <row r="303" spans="17:22" ht="15" customHeight="1" hidden="1">
      <c r="Q303" s="398">
        <v>234</v>
      </c>
      <c r="R303" s="398" t="s">
        <v>260</v>
      </c>
      <c r="S303" s="398" t="s">
        <v>288</v>
      </c>
      <c r="T303" s="399">
        <v>10</v>
      </c>
      <c r="U303" s="400">
        <v>40</v>
      </c>
      <c r="V303" s="400">
        <v>35</v>
      </c>
    </row>
    <row r="304" spans="17:22" ht="15" customHeight="1" hidden="1">
      <c r="Q304" s="398">
        <v>235</v>
      </c>
      <c r="R304" s="398" t="s">
        <v>258</v>
      </c>
      <c r="S304" s="398" t="s">
        <v>289</v>
      </c>
      <c r="T304" s="399">
        <v>10</v>
      </c>
      <c r="U304" s="400">
        <v>15</v>
      </c>
      <c r="V304" s="400">
        <v>20</v>
      </c>
    </row>
    <row r="305" spans="17:22" ht="15" customHeight="1" hidden="1">
      <c r="Q305" s="398">
        <v>236</v>
      </c>
      <c r="R305" s="398" t="s">
        <v>267</v>
      </c>
      <c r="S305" s="398" t="s">
        <v>289</v>
      </c>
      <c r="T305" s="399">
        <v>10</v>
      </c>
      <c r="U305" s="400">
        <v>15</v>
      </c>
      <c r="V305" s="400">
        <v>20</v>
      </c>
    </row>
    <row r="306" spans="17:22" ht="15" customHeight="1" hidden="1">
      <c r="Q306" s="398">
        <v>237</v>
      </c>
      <c r="R306" s="398" t="s">
        <v>271</v>
      </c>
      <c r="S306" s="398" t="s">
        <v>289</v>
      </c>
      <c r="T306" s="399">
        <v>10</v>
      </c>
      <c r="U306" s="400">
        <v>25</v>
      </c>
      <c r="V306" s="400">
        <v>25</v>
      </c>
    </row>
    <row r="307" spans="17:22" ht="15" customHeight="1" hidden="1">
      <c r="Q307" s="398">
        <v>238</v>
      </c>
      <c r="R307" s="398" t="s">
        <v>256</v>
      </c>
      <c r="S307" s="398" t="s">
        <v>289</v>
      </c>
      <c r="T307" s="399">
        <v>10</v>
      </c>
      <c r="U307" s="400">
        <v>25</v>
      </c>
      <c r="V307" s="400">
        <v>25</v>
      </c>
    </row>
    <row r="308" spans="17:22" ht="15" customHeight="1" hidden="1">
      <c r="Q308" s="398">
        <v>239</v>
      </c>
      <c r="R308" s="398" t="s">
        <v>255</v>
      </c>
      <c r="S308" s="398" t="s">
        <v>289</v>
      </c>
      <c r="T308" s="399">
        <v>10</v>
      </c>
      <c r="U308" s="400">
        <v>25</v>
      </c>
      <c r="V308" s="400">
        <v>25</v>
      </c>
    </row>
    <row r="309" spans="17:22" ht="15" customHeight="1" hidden="1">
      <c r="Q309" s="398">
        <v>240</v>
      </c>
      <c r="R309" s="398" t="s">
        <v>265</v>
      </c>
      <c r="S309" s="398" t="s">
        <v>289</v>
      </c>
      <c r="T309" s="399">
        <v>10</v>
      </c>
      <c r="U309" s="400">
        <v>25</v>
      </c>
      <c r="V309" s="400">
        <v>25</v>
      </c>
    </row>
    <row r="310" spans="17:22" ht="15" customHeight="1" hidden="1">
      <c r="Q310" s="398">
        <v>241</v>
      </c>
      <c r="R310" s="398" t="s">
        <v>257</v>
      </c>
      <c r="S310" s="398" t="s">
        <v>289</v>
      </c>
      <c r="T310" s="399">
        <v>10</v>
      </c>
      <c r="U310" s="400">
        <v>25</v>
      </c>
      <c r="V310" s="400">
        <v>25</v>
      </c>
    </row>
    <row r="311" spans="17:22" ht="15" customHeight="1" hidden="1">
      <c r="Q311" s="398">
        <v>242</v>
      </c>
      <c r="R311" s="398" t="s">
        <v>262</v>
      </c>
      <c r="S311" s="398" t="s">
        <v>289</v>
      </c>
      <c r="T311" s="399">
        <v>10</v>
      </c>
      <c r="U311" s="400">
        <v>20</v>
      </c>
      <c r="V311" s="400">
        <v>20</v>
      </c>
    </row>
    <row r="312" spans="17:22" ht="15" customHeight="1" hidden="1">
      <c r="Q312" s="398">
        <v>243</v>
      </c>
      <c r="R312" s="398" t="s">
        <v>270</v>
      </c>
      <c r="S312" s="398" t="s">
        <v>289</v>
      </c>
      <c r="T312" s="399">
        <v>10</v>
      </c>
      <c r="U312" s="400">
        <v>20</v>
      </c>
      <c r="V312" s="400">
        <v>20</v>
      </c>
    </row>
    <row r="313" spans="17:22" ht="15" customHeight="1" hidden="1">
      <c r="Q313" s="398">
        <v>244</v>
      </c>
      <c r="R313" s="398" t="s">
        <v>261</v>
      </c>
      <c r="S313" s="398" t="s">
        <v>289</v>
      </c>
      <c r="T313" s="399">
        <v>10</v>
      </c>
      <c r="U313" s="400">
        <v>20</v>
      </c>
      <c r="V313" s="400">
        <v>20</v>
      </c>
    </row>
    <row r="314" spans="17:22" ht="15" customHeight="1" hidden="1">
      <c r="Q314" s="398">
        <v>245</v>
      </c>
      <c r="R314" s="398" t="s">
        <v>268</v>
      </c>
      <c r="S314" s="398" t="s">
        <v>289</v>
      </c>
      <c r="T314" s="399">
        <v>10</v>
      </c>
      <c r="U314" s="400">
        <v>25</v>
      </c>
      <c r="V314" s="400">
        <v>25</v>
      </c>
    </row>
    <row r="315" spans="17:22" ht="15" customHeight="1" hidden="1">
      <c r="Q315" s="398">
        <v>246</v>
      </c>
      <c r="R315" s="398" t="s">
        <v>269</v>
      </c>
      <c r="S315" s="398" t="s">
        <v>289</v>
      </c>
      <c r="T315" s="399">
        <v>10</v>
      </c>
      <c r="U315" s="400">
        <v>25</v>
      </c>
      <c r="V315" s="400">
        <v>25</v>
      </c>
    </row>
    <row r="316" spans="17:22" ht="15" customHeight="1" hidden="1">
      <c r="Q316" s="398">
        <v>247</v>
      </c>
      <c r="R316" s="398" t="s">
        <v>263</v>
      </c>
      <c r="S316" s="398" t="s">
        <v>289</v>
      </c>
      <c r="T316" s="399">
        <v>10</v>
      </c>
      <c r="U316" s="400">
        <v>25</v>
      </c>
      <c r="V316" s="400">
        <v>25</v>
      </c>
    </row>
    <row r="317" spans="17:22" ht="15" customHeight="1" hidden="1">
      <c r="Q317" s="398">
        <v>248</v>
      </c>
      <c r="R317" s="398" t="s">
        <v>264</v>
      </c>
      <c r="S317" s="398" t="s">
        <v>289</v>
      </c>
      <c r="T317" s="399">
        <v>10</v>
      </c>
      <c r="U317" s="400">
        <v>25</v>
      </c>
      <c r="V317" s="400">
        <v>25</v>
      </c>
    </row>
    <row r="318" spans="17:22" ht="15" customHeight="1" hidden="1">
      <c r="Q318" s="398">
        <v>249</v>
      </c>
      <c r="R318" s="398" t="s">
        <v>254</v>
      </c>
      <c r="S318" s="398" t="s">
        <v>289</v>
      </c>
      <c r="T318" s="399">
        <v>10</v>
      </c>
      <c r="U318" s="400">
        <v>25</v>
      </c>
      <c r="V318" s="400">
        <v>25</v>
      </c>
    </row>
    <row r="319" spans="17:22" ht="15" customHeight="1" hidden="1">
      <c r="Q319" s="398">
        <v>250</v>
      </c>
      <c r="R319" s="398" t="s">
        <v>259</v>
      </c>
      <c r="S319" s="398" t="s">
        <v>289</v>
      </c>
      <c r="T319" s="399">
        <v>10</v>
      </c>
      <c r="U319" s="400">
        <v>25</v>
      </c>
      <c r="V319" s="400">
        <v>25</v>
      </c>
    </row>
    <row r="320" spans="17:22" ht="15" customHeight="1" hidden="1">
      <c r="Q320" s="398">
        <v>251</v>
      </c>
      <c r="R320" s="398" t="s">
        <v>266</v>
      </c>
      <c r="S320" s="398" t="s">
        <v>289</v>
      </c>
      <c r="T320" s="399">
        <v>10</v>
      </c>
      <c r="U320" s="400">
        <v>25</v>
      </c>
      <c r="V320" s="400">
        <v>25</v>
      </c>
    </row>
    <row r="321" spans="17:22" ht="15" customHeight="1" hidden="1">
      <c r="Q321" s="398">
        <v>252</v>
      </c>
      <c r="R321" s="398" t="s">
        <v>260</v>
      </c>
      <c r="S321" s="398" t="s">
        <v>289</v>
      </c>
      <c r="T321" s="399">
        <v>10</v>
      </c>
      <c r="U321" s="400">
        <v>25</v>
      </c>
      <c r="V321" s="400">
        <v>25</v>
      </c>
    </row>
    <row r="322" spans="17:22" ht="15" customHeight="1" hidden="1">
      <c r="Q322" s="398">
        <v>253</v>
      </c>
      <c r="R322" s="398" t="s">
        <v>258</v>
      </c>
      <c r="S322" s="398" t="s">
        <v>290</v>
      </c>
      <c r="T322" s="399">
        <v>40</v>
      </c>
      <c r="U322" s="400">
        <v>40</v>
      </c>
      <c r="V322" s="400">
        <v>30</v>
      </c>
    </row>
    <row r="323" spans="17:22" ht="15" customHeight="1" hidden="1">
      <c r="Q323" s="398">
        <v>254</v>
      </c>
      <c r="R323" s="398" t="s">
        <v>267</v>
      </c>
      <c r="S323" s="398" t="s">
        <v>290</v>
      </c>
      <c r="T323" s="399">
        <v>40</v>
      </c>
      <c r="U323" s="400">
        <v>40</v>
      </c>
      <c r="V323" s="400">
        <v>30</v>
      </c>
    </row>
    <row r="324" spans="17:22" ht="15" customHeight="1" hidden="1">
      <c r="Q324" s="398">
        <v>255</v>
      </c>
      <c r="R324" s="398" t="s">
        <v>271</v>
      </c>
      <c r="S324" s="398" t="s">
        <v>290</v>
      </c>
      <c r="T324" s="399">
        <v>40</v>
      </c>
      <c r="U324" s="400">
        <v>40</v>
      </c>
      <c r="V324" s="400">
        <v>30</v>
      </c>
    </row>
    <row r="325" spans="17:22" ht="15" customHeight="1" hidden="1">
      <c r="Q325" s="398">
        <v>256</v>
      </c>
      <c r="R325" s="398" t="s">
        <v>256</v>
      </c>
      <c r="S325" s="398" t="s">
        <v>290</v>
      </c>
      <c r="T325" s="399">
        <v>40</v>
      </c>
      <c r="U325" s="400">
        <v>50</v>
      </c>
      <c r="V325" s="400">
        <v>30</v>
      </c>
    </row>
    <row r="326" spans="17:22" ht="15" customHeight="1" hidden="1">
      <c r="Q326" s="398">
        <v>257</v>
      </c>
      <c r="R326" s="398" t="s">
        <v>255</v>
      </c>
      <c r="S326" s="398" t="s">
        <v>290</v>
      </c>
      <c r="T326" s="399">
        <v>40</v>
      </c>
      <c r="U326" s="400">
        <v>40</v>
      </c>
      <c r="V326" s="400">
        <v>30</v>
      </c>
    </row>
    <row r="327" spans="17:22" ht="15" customHeight="1" hidden="1">
      <c r="Q327" s="398">
        <v>258</v>
      </c>
      <c r="R327" s="398" t="s">
        <v>265</v>
      </c>
      <c r="S327" s="398" t="s">
        <v>290</v>
      </c>
      <c r="T327" s="399">
        <v>40</v>
      </c>
      <c r="U327" s="400">
        <v>40</v>
      </c>
      <c r="V327" s="400">
        <v>30</v>
      </c>
    </row>
    <row r="328" spans="17:22" ht="15" customHeight="1" hidden="1">
      <c r="Q328" s="398">
        <v>259</v>
      </c>
      <c r="R328" s="398" t="s">
        <v>257</v>
      </c>
      <c r="S328" s="398" t="s">
        <v>290</v>
      </c>
      <c r="T328" s="399">
        <v>40</v>
      </c>
      <c r="U328" s="400">
        <v>40</v>
      </c>
      <c r="V328" s="400">
        <v>30</v>
      </c>
    </row>
    <row r="329" spans="17:22" ht="15" customHeight="1" hidden="1">
      <c r="Q329" s="398">
        <v>260</v>
      </c>
      <c r="R329" s="398" t="s">
        <v>262</v>
      </c>
      <c r="S329" s="398" t="s">
        <v>290</v>
      </c>
      <c r="T329" s="399">
        <v>40</v>
      </c>
      <c r="U329" s="400">
        <v>40</v>
      </c>
      <c r="V329" s="400">
        <v>30</v>
      </c>
    </row>
    <row r="330" spans="17:22" ht="15" customHeight="1" hidden="1">
      <c r="Q330" s="398">
        <v>261</v>
      </c>
      <c r="R330" s="398" t="s">
        <v>270</v>
      </c>
      <c r="S330" s="398" t="s">
        <v>290</v>
      </c>
      <c r="T330" s="399">
        <v>40</v>
      </c>
      <c r="U330" s="400">
        <v>40</v>
      </c>
      <c r="V330" s="400">
        <v>30</v>
      </c>
    </row>
    <row r="331" spans="17:22" ht="15" customHeight="1" hidden="1">
      <c r="Q331" s="398">
        <v>262</v>
      </c>
      <c r="R331" s="398" t="s">
        <v>261</v>
      </c>
      <c r="S331" s="398" t="s">
        <v>290</v>
      </c>
      <c r="T331" s="399">
        <v>40</v>
      </c>
      <c r="U331" s="400">
        <v>40</v>
      </c>
      <c r="V331" s="400">
        <v>30</v>
      </c>
    </row>
    <row r="332" spans="17:22" ht="15" customHeight="1" hidden="1">
      <c r="Q332" s="398">
        <v>263</v>
      </c>
      <c r="R332" s="398" t="s">
        <v>268</v>
      </c>
      <c r="S332" s="398" t="s">
        <v>290</v>
      </c>
      <c r="T332" s="399">
        <v>40</v>
      </c>
      <c r="U332" s="400">
        <v>40</v>
      </c>
      <c r="V332" s="400">
        <v>30</v>
      </c>
    </row>
    <row r="333" spans="17:22" ht="15" customHeight="1" hidden="1">
      <c r="Q333" s="398">
        <v>264</v>
      </c>
      <c r="R333" s="398" t="s">
        <v>269</v>
      </c>
      <c r="S333" s="398" t="s">
        <v>290</v>
      </c>
      <c r="T333" s="399">
        <v>40</v>
      </c>
      <c r="U333" s="400">
        <v>40</v>
      </c>
      <c r="V333" s="400">
        <v>30</v>
      </c>
    </row>
    <row r="334" spans="17:22" ht="15" customHeight="1" hidden="1">
      <c r="Q334" s="398">
        <v>265</v>
      </c>
      <c r="R334" s="398" t="s">
        <v>263</v>
      </c>
      <c r="S334" s="398" t="s">
        <v>290</v>
      </c>
      <c r="T334" s="399">
        <v>40</v>
      </c>
      <c r="U334" s="400">
        <v>40</v>
      </c>
      <c r="V334" s="400">
        <v>30</v>
      </c>
    </row>
    <row r="335" spans="17:22" ht="15" customHeight="1" hidden="1">
      <c r="Q335" s="398">
        <v>266</v>
      </c>
      <c r="R335" s="398" t="s">
        <v>264</v>
      </c>
      <c r="S335" s="398" t="s">
        <v>290</v>
      </c>
      <c r="T335" s="399">
        <v>40</v>
      </c>
      <c r="U335" s="400">
        <v>40</v>
      </c>
      <c r="V335" s="400">
        <v>30</v>
      </c>
    </row>
    <row r="336" spans="17:22" ht="15" customHeight="1" hidden="1">
      <c r="Q336" s="398">
        <v>267</v>
      </c>
      <c r="R336" s="398" t="s">
        <v>254</v>
      </c>
      <c r="S336" s="398" t="s">
        <v>290</v>
      </c>
      <c r="T336" s="399">
        <v>40</v>
      </c>
      <c r="U336" s="400">
        <v>40</v>
      </c>
      <c r="V336" s="400">
        <v>30</v>
      </c>
    </row>
    <row r="337" spans="17:22" ht="15" customHeight="1" hidden="1">
      <c r="Q337" s="398">
        <v>268</v>
      </c>
      <c r="R337" s="398" t="s">
        <v>259</v>
      </c>
      <c r="S337" s="398" t="s">
        <v>290</v>
      </c>
      <c r="T337" s="399">
        <v>40</v>
      </c>
      <c r="U337" s="400">
        <v>40</v>
      </c>
      <c r="V337" s="400">
        <v>30</v>
      </c>
    </row>
    <row r="338" spans="17:22" ht="15" customHeight="1" hidden="1">
      <c r="Q338" s="398">
        <v>269</v>
      </c>
      <c r="R338" s="398" t="s">
        <v>266</v>
      </c>
      <c r="S338" s="398" t="s">
        <v>290</v>
      </c>
      <c r="T338" s="399">
        <v>40</v>
      </c>
      <c r="U338" s="400">
        <v>40</v>
      </c>
      <c r="V338" s="400">
        <v>30</v>
      </c>
    </row>
    <row r="339" spans="17:22" ht="15" customHeight="1" hidden="1">
      <c r="Q339" s="398">
        <v>270</v>
      </c>
      <c r="R339" s="398" t="s">
        <v>260</v>
      </c>
      <c r="S339" s="398" t="s">
        <v>290</v>
      </c>
      <c r="T339" s="399">
        <v>40</v>
      </c>
      <c r="U339" s="400">
        <v>40</v>
      </c>
      <c r="V339" s="400">
        <v>30</v>
      </c>
    </row>
    <row r="340" spans="17:22" ht="15" customHeight="1" hidden="1">
      <c r="Q340" s="398">
        <v>271</v>
      </c>
      <c r="R340" s="398" t="s">
        <v>258</v>
      </c>
      <c r="S340" s="398" t="s">
        <v>291</v>
      </c>
      <c r="T340" s="399">
        <v>10</v>
      </c>
      <c r="U340" s="400">
        <v>35</v>
      </c>
      <c r="V340" s="400">
        <v>35</v>
      </c>
    </row>
    <row r="341" spans="17:22" ht="15" customHeight="1" hidden="1">
      <c r="Q341" s="398">
        <v>272</v>
      </c>
      <c r="R341" s="398" t="s">
        <v>267</v>
      </c>
      <c r="S341" s="398" t="s">
        <v>291</v>
      </c>
      <c r="T341" s="399">
        <v>10</v>
      </c>
      <c r="U341" s="400">
        <v>35</v>
      </c>
      <c r="V341" s="400">
        <v>35</v>
      </c>
    </row>
    <row r="342" spans="17:22" ht="15" customHeight="1" hidden="1">
      <c r="Q342" s="398">
        <v>273</v>
      </c>
      <c r="R342" s="398" t="s">
        <v>271</v>
      </c>
      <c r="S342" s="398" t="s">
        <v>291</v>
      </c>
      <c r="T342" s="399">
        <v>10</v>
      </c>
      <c r="U342" s="400">
        <v>35</v>
      </c>
      <c r="V342" s="400">
        <v>35</v>
      </c>
    </row>
    <row r="343" spans="17:22" ht="15" customHeight="1" hidden="1">
      <c r="Q343" s="398">
        <v>274</v>
      </c>
      <c r="R343" s="398" t="s">
        <v>256</v>
      </c>
      <c r="S343" s="398" t="s">
        <v>291</v>
      </c>
      <c r="T343" s="399">
        <v>10</v>
      </c>
      <c r="U343" s="400">
        <v>35</v>
      </c>
      <c r="V343" s="400">
        <v>35</v>
      </c>
    </row>
    <row r="344" spans="17:22" ht="15" customHeight="1" hidden="1">
      <c r="Q344" s="398">
        <v>275</v>
      </c>
      <c r="R344" s="398" t="s">
        <v>255</v>
      </c>
      <c r="S344" s="398" t="s">
        <v>291</v>
      </c>
      <c r="T344" s="399">
        <v>10</v>
      </c>
      <c r="U344" s="400">
        <v>40</v>
      </c>
      <c r="V344" s="400">
        <v>35</v>
      </c>
    </row>
    <row r="345" spans="17:22" ht="15" customHeight="1" hidden="1">
      <c r="Q345" s="398">
        <v>276</v>
      </c>
      <c r="R345" s="398" t="s">
        <v>265</v>
      </c>
      <c r="S345" s="398" t="s">
        <v>291</v>
      </c>
      <c r="T345" s="399">
        <v>10</v>
      </c>
      <c r="U345" s="400">
        <v>35</v>
      </c>
      <c r="V345" s="400">
        <v>35</v>
      </c>
    </row>
    <row r="346" spans="17:22" ht="15" customHeight="1" hidden="1">
      <c r="Q346" s="398">
        <v>277</v>
      </c>
      <c r="R346" s="398" t="s">
        <v>257</v>
      </c>
      <c r="S346" s="398" t="s">
        <v>291</v>
      </c>
      <c r="T346" s="399">
        <v>10</v>
      </c>
      <c r="U346" s="400">
        <v>40</v>
      </c>
      <c r="V346" s="400">
        <v>35</v>
      </c>
    </row>
    <row r="347" spans="17:22" ht="15" customHeight="1" hidden="1">
      <c r="Q347" s="398">
        <v>278</v>
      </c>
      <c r="R347" s="398" t="s">
        <v>262</v>
      </c>
      <c r="S347" s="398" t="s">
        <v>291</v>
      </c>
      <c r="T347" s="399">
        <v>10</v>
      </c>
      <c r="U347" s="400">
        <v>40</v>
      </c>
      <c r="V347" s="400">
        <v>35</v>
      </c>
    </row>
    <row r="348" spans="17:22" ht="15" customHeight="1" hidden="1">
      <c r="Q348" s="398">
        <v>279</v>
      </c>
      <c r="R348" s="398" t="s">
        <v>270</v>
      </c>
      <c r="S348" s="398" t="s">
        <v>291</v>
      </c>
      <c r="T348" s="399">
        <v>10</v>
      </c>
      <c r="U348" s="400">
        <v>35</v>
      </c>
      <c r="V348" s="400">
        <v>35</v>
      </c>
    </row>
    <row r="349" spans="17:22" ht="15" customHeight="1" hidden="1">
      <c r="Q349" s="398">
        <v>280</v>
      </c>
      <c r="R349" s="398" t="s">
        <v>261</v>
      </c>
      <c r="S349" s="398" t="s">
        <v>291</v>
      </c>
      <c r="T349" s="399">
        <v>10</v>
      </c>
      <c r="U349" s="400">
        <v>40</v>
      </c>
      <c r="V349" s="400">
        <v>35</v>
      </c>
    </row>
    <row r="350" spans="17:22" ht="15" customHeight="1" hidden="1">
      <c r="Q350" s="398">
        <v>281</v>
      </c>
      <c r="R350" s="398" t="s">
        <v>268</v>
      </c>
      <c r="S350" s="398" t="s">
        <v>291</v>
      </c>
      <c r="T350" s="399">
        <v>10</v>
      </c>
      <c r="U350" s="400">
        <v>35</v>
      </c>
      <c r="V350" s="400">
        <v>35</v>
      </c>
    </row>
    <row r="351" spans="17:22" ht="15" customHeight="1" hidden="1">
      <c r="Q351" s="398">
        <v>282</v>
      </c>
      <c r="R351" s="398" t="s">
        <v>269</v>
      </c>
      <c r="S351" s="398" t="s">
        <v>291</v>
      </c>
      <c r="T351" s="399">
        <v>10</v>
      </c>
      <c r="U351" s="400">
        <v>35</v>
      </c>
      <c r="V351" s="400">
        <v>35</v>
      </c>
    </row>
    <row r="352" spans="17:22" ht="15" customHeight="1" hidden="1">
      <c r="Q352" s="398">
        <v>283</v>
      </c>
      <c r="R352" s="398" t="s">
        <v>263</v>
      </c>
      <c r="S352" s="398" t="s">
        <v>291</v>
      </c>
      <c r="T352" s="399">
        <v>10</v>
      </c>
      <c r="U352" s="400">
        <v>35</v>
      </c>
      <c r="V352" s="400">
        <v>35</v>
      </c>
    </row>
    <row r="353" spans="17:22" ht="15" customHeight="1" hidden="1">
      <c r="Q353" s="398">
        <v>284</v>
      </c>
      <c r="R353" s="398" t="s">
        <v>264</v>
      </c>
      <c r="S353" s="398" t="s">
        <v>291</v>
      </c>
      <c r="T353" s="399">
        <v>10</v>
      </c>
      <c r="U353" s="400">
        <v>40</v>
      </c>
      <c r="V353" s="400">
        <v>35</v>
      </c>
    </row>
    <row r="354" spans="17:22" ht="15" customHeight="1" hidden="1">
      <c r="Q354" s="398">
        <v>285</v>
      </c>
      <c r="R354" s="398" t="s">
        <v>254</v>
      </c>
      <c r="S354" s="398" t="s">
        <v>291</v>
      </c>
      <c r="T354" s="399">
        <v>10</v>
      </c>
      <c r="U354" s="400">
        <v>35</v>
      </c>
      <c r="V354" s="400">
        <v>35</v>
      </c>
    </row>
    <row r="355" spans="17:22" ht="15" customHeight="1" hidden="1">
      <c r="Q355" s="398">
        <v>286</v>
      </c>
      <c r="R355" s="398" t="s">
        <v>259</v>
      </c>
      <c r="S355" s="398" t="s">
        <v>291</v>
      </c>
      <c r="T355" s="399">
        <v>10</v>
      </c>
      <c r="U355" s="400">
        <v>35</v>
      </c>
      <c r="V355" s="400">
        <v>35</v>
      </c>
    </row>
    <row r="356" spans="17:22" ht="15" customHeight="1" hidden="1">
      <c r="Q356" s="398">
        <v>287</v>
      </c>
      <c r="R356" s="398" t="s">
        <v>266</v>
      </c>
      <c r="S356" s="398" t="s">
        <v>291</v>
      </c>
      <c r="T356" s="399">
        <v>10</v>
      </c>
      <c r="U356" s="400">
        <v>35</v>
      </c>
      <c r="V356" s="400">
        <v>35</v>
      </c>
    </row>
    <row r="357" spans="17:22" ht="15" customHeight="1" hidden="1">
      <c r="Q357" s="398">
        <v>288</v>
      </c>
      <c r="R357" s="398" t="s">
        <v>260</v>
      </c>
      <c r="S357" s="398" t="s">
        <v>291</v>
      </c>
      <c r="T357" s="399">
        <v>10</v>
      </c>
      <c r="U357" s="400">
        <v>40</v>
      </c>
      <c r="V357" s="400">
        <v>35</v>
      </c>
    </row>
    <row r="358" spans="17:22" ht="15" customHeight="1" hidden="1">
      <c r="Q358" s="398">
        <v>289</v>
      </c>
      <c r="R358" s="398" t="s">
        <v>258</v>
      </c>
      <c r="S358" s="398" t="s">
        <v>292</v>
      </c>
      <c r="T358" s="399">
        <v>10</v>
      </c>
      <c r="U358" s="400">
        <v>35</v>
      </c>
      <c r="V358" s="400">
        <v>35</v>
      </c>
    </row>
    <row r="359" spans="17:22" ht="15" customHeight="1" hidden="1">
      <c r="Q359" s="398">
        <v>290</v>
      </c>
      <c r="R359" s="398" t="s">
        <v>267</v>
      </c>
      <c r="S359" s="398" t="s">
        <v>292</v>
      </c>
      <c r="T359" s="399">
        <v>10</v>
      </c>
      <c r="U359" s="400">
        <v>35</v>
      </c>
      <c r="V359" s="400">
        <v>35</v>
      </c>
    </row>
    <row r="360" spans="17:22" ht="15" customHeight="1" hidden="1">
      <c r="Q360" s="398">
        <v>291</v>
      </c>
      <c r="R360" s="398" t="s">
        <v>271</v>
      </c>
      <c r="S360" s="398" t="s">
        <v>292</v>
      </c>
      <c r="T360" s="399">
        <v>10</v>
      </c>
      <c r="U360" s="400">
        <v>40</v>
      </c>
      <c r="V360" s="400">
        <v>35</v>
      </c>
    </row>
    <row r="361" spans="17:22" ht="15" customHeight="1" hidden="1">
      <c r="Q361" s="398">
        <v>292</v>
      </c>
      <c r="R361" s="398" t="s">
        <v>256</v>
      </c>
      <c r="S361" s="398" t="s">
        <v>292</v>
      </c>
      <c r="T361" s="399">
        <v>10</v>
      </c>
      <c r="U361" s="400">
        <v>35</v>
      </c>
      <c r="V361" s="400">
        <v>35</v>
      </c>
    </row>
    <row r="362" spans="17:22" ht="15" customHeight="1" hidden="1">
      <c r="Q362" s="398">
        <v>293</v>
      </c>
      <c r="R362" s="398" t="s">
        <v>255</v>
      </c>
      <c r="S362" s="398" t="s">
        <v>292</v>
      </c>
      <c r="T362" s="399">
        <v>10</v>
      </c>
      <c r="U362" s="400">
        <v>40</v>
      </c>
      <c r="V362" s="400">
        <v>35</v>
      </c>
    </row>
    <row r="363" spans="17:22" ht="15" customHeight="1" hidden="1">
      <c r="Q363" s="398">
        <v>294</v>
      </c>
      <c r="R363" s="398" t="s">
        <v>265</v>
      </c>
      <c r="S363" s="398" t="s">
        <v>292</v>
      </c>
      <c r="T363" s="399">
        <v>10</v>
      </c>
      <c r="U363" s="400">
        <v>40</v>
      </c>
      <c r="V363" s="400">
        <v>35</v>
      </c>
    </row>
    <row r="364" spans="17:22" ht="15" customHeight="1" hidden="1">
      <c r="Q364" s="398">
        <v>295</v>
      </c>
      <c r="R364" s="398" t="s">
        <v>257</v>
      </c>
      <c r="S364" s="398" t="s">
        <v>292</v>
      </c>
      <c r="T364" s="399">
        <v>10</v>
      </c>
      <c r="U364" s="400">
        <v>25</v>
      </c>
      <c r="V364" s="400">
        <v>35</v>
      </c>
    </row>
    <row r="365" spans="17:22" ht="15" customHeight="1" hidden="1">
      <c r="Q365" s="398">
        <v>296</v>
      </c>
      <c r="R365" s="398" t="s">
        <v>262</v>
      </c>
      <c r="S365" s="398" t="s">
        <v>292</v>
      </c>
      <c r="T365" s="399">
        <v>10</v>
      </c>
      <c r="U365" s="400">
        <v>35</v>
      </c>
      <c r="V365" s="400">
        <v>35</v>
      </c>
    </row>
    <row r="366" spans="17:22" ht="15" customHeight="1" hidden="1">
      <c r="Q366" s="398">
        <v>297</v>
      </c>
      <c r="R366" s="398" t="s">
        <v>270</v>
      </c>
      <c r="S366" s="398" t="s">
        <v>292</v>
      </c>
      <c r="T366" s="399">
        <v>10</v>
      </c>
      <c r="U366" s="400">
        <v>40</v>
      </c>
      <c r="V366" s="400">
        <v>35</v>
      </c>
    </row>
    <row r="367" spans="17:22" ht="15" customHeight="1" hidden="1">
      <c r="Q367" s="398">
        <v>298</v>
      </c>
      <c r="R367" s="398" t="s">
        <v>261</v>
      </c>
      <c r="S367" s="398" t="s">
        <v>292</v>
      </c>
      <c r="T367" s="399">
        <v>10</v>
      </c>
      <c r="U367" s="400">
        <v>35</v>
      </c>
      <c r="V367" s="400">
        <v>35</v>
      </c>
    </row>
    <row r="368" spans="17:22" ht="15" customHeight="1" hidden="1">
      <c r="Q368" s="398">
        <v>299</v>
      </c>
      <c r="R368" s="398" t="s">
        <v>268</v>
      </c>
      <c r="S368" s="398" t="s">
        <v>292</v>
      </c>
      <c r="T368" s="399">
        <v>10</v>
      </c>
      <c r="U368" s="400">
        <v>40</v>
      </c>
      <c r="V368" s="400">
        <v>35</v>
      </c>
    </row>
    <row r="369" spans="17:22" ht="15" customHeight="1" hidden="1">
      <c r="Q369" s="398">
        <v>300</v>
      </c>
      <c r="R369" s="398" t="s">
        <v>269</v>
      </c>
      <c r="S369" s="398" t="s">
        <v>292</v>
      </c>
      <c r="T369" s="399">
        <v>10</v>
      </c>
      <c r="U369" s="400">
        <v>40</v>
      </c>
      <c r="V369" s="400">
        <v>35</v>
      </c>
    </row>
    <row r="370" spans="17:22" ht="15" customHeight="1" hidden="1">
      <c r="Q370" s="398">
        <v>301</v>
      </c>
      <c r="R370" s="398" t="s">
        <v>263</v>
      </c>
      <c r="S370" s="398" t="s">
        <v>292</v>
      </c>
      <c r="T370" s="399">
        <v>10</v>
      </c>
      <c r="U370" s="400">
        <v>40</v>
      </c>
      <c r="V370" s="400">
        <v>35</v>
      </c>
    </row>
    <row r="371" spans="17:22" ht="15" customHeight="1" hidden="1">
      <c r="Q371" s="398">
        <v>302</v>
      </c>
      <c r="R371" s="398" t="s">
        <v>264</v>
      </c>
      <c r="S371" s="398" t="s">
        <v>292</v>
      </c>
      <c r="T371" s="399">
        <v>10</v>
      </c>
      <c r="U371" s="400">
        <v>40</v>
      </c>
      <c r="V371" s="400">
        <v>35</v>
      </c>
    </row>
    <row r="372" spans="17:22" ht="15" customHeight="1" hidden="1">
      <c r="Q372" s="398">
        <v>303</v>
      </c>
      <c r="R372" s="398" t="s">
        <v>254</v>
      </c>
      <c r="S372" s="398" t="s">
        <v>292</v>
      </c>
      <c r="T372" s="399">
        <v>10</v>
      </c>
      <c r="U372" s="400">
        <v>40</v>
      </c>
      <c r="V372" s="400">
        <v>35</v>
      </c>
    </row>
    <row r="373" spans="17:22" ht="15" customHeight="1" hidden="1">
      <c r="Q373" s="398">
        <v>304</v>
      </c>
      <c r="R373" s="398" t="s">
        <v>259</v>
      </c>
      <c r="S373" s="398" t="s">
        <v>292</v>
      </c>
      <c r="T373" s="399">
        <v>10</v>
      </c>
      <c r="U373" s="400">
        <v>40</v>
      </c>
      <c r="V373" s="400">
        <v>35</v>
      </c>
    </row>
    <row r="374" spans="17:22" ht="15" customHeight="1" hidden="1">
      <c r="Q374" s="398">
        <v>305</v>
      </c>
      <c r="R374" s="398" t="s">
        <v>266</v>
      </c>
      <c r="S374" s="398" t="s">
        <v>292</v>
      </c>
      <c r="T374" s="399">
        <v>10</v>
      </c>
      <c r="U374" s="400">
        <v>40</v>
      </c>
      <c r="V374" s="400">
        <v>35</v>
      </c>
    </row>
    <row r="375" spans="17:22" ht="15" customHeight="1" hidden="1">
      <c r="Q375" s="398">
        <v>306</v>
      </c>
      <c r="R375" s="398" t="s">
        <v>260</v>
      </c>
      <c r="S375" s="398" t="s">
        <v>292</v>
      </c>
      <c r="T375" s="399">
        <v>10</v>
      </c>
      <c r="U375" s="400">
        <v>40</v>
      </c>
      <c r="V375" s="400">
        <v>35</v>
      </c>
    </row>
    <row r="376" spans="17:22" ht="15" customHeight="1" hidden="1">
      <c r="Q376" s="398">
        <v>307</v>
      </c>
      <c r="R376" s="398" t="s">
        <v>258</v>
      </c>
      <c r="S376" s="398" t="s">
        <v>293</v>
      </c>
      <c r="T376" s="399">
        <v>20</v>
      </c>
      <c r="U376" s="400">
        <v>50</v>
      </c>
      <c r="V376" s="400">
        <v>45</v>
      </c>
    </row>
    <row r="377" spans="17:22" ht="15" customHeight="1" hidden="1">
      <c r="Q377" s="398">
        <v>308</v>
      </c>
      <c r="R377" s="398" t="s">
        <v>267</v>
      </c>
      <c r="S377" s="398" t="s">
        <v>293</v>
      </c>
      <c r="T377" s="399">
        <v>20</v>
      </c>
      <c r="U377" s="400">
        <v>50</v>
      </c>
      <c r="V377" s="400">
        <v>45</v>
      </c>
    </row>
    <row r="378" spans="17:22" ht="15" customHeight="1" hidden="1">
      <c r="Q378" s="398">
        <v>309</v>
      </c>
      <c r="R378" s="398" t="s">
        <v>271</v>
      </c>
      <c r="S378" s="398" t="s">
        <v>293</v>
      </c>
      <c r="T378" s="399">
        <v>30</v>
      </c>
      <c r="U378" s="400">
        <v>50</v>
      </c>
      <c r="V378" s="400">
        <v>45</v>
      </c>
    </row>
    <row r="379" spans="17:22" ht="15" customHeight="1" hidden="1">
      <c r="Q379" s="398">
        <v>310</v>
      </c>
      <c r="R379" s="398" t="s">
        <v>256</v>
      </c>
      <c r="S379" s="398" t="s">
        <v>293</v>
      </c>
      <c r="T379" s="399">
        <v>20</v>
      </c>
      <c r="U379" s="400">
        <v>50</v>
      </c>
      <c r="V379" s="400">
        <v>45</v>
      </c>
    </row>
    <row r="380" spans="17:22" ht="15" customHeight="1" hidden="1">
      <c r="Q380" s="398">
        <v>311</v>
      </c>
      <c r="R380" s="398" t="s">
        <v>255</v>
      </c>
      <c r="S380" s="398" t="s">
        <v>293</v>
      </c>
      <c r="T380" s="399">
        <v>20</v>
      </c>
      <c r="U380" s="400">
        <v>50</v>
      </c>
      <c r="V380" s="400">
        <v>45</v>
      </c>
    </row>
    <row r="381" spans="17:22" ht="15" customHeight="1" hidden="1">
      <c r="Q381" s="398">
        <v>312</v>
      </c>
      <c r="R381" s="398" t="s">
        <v>265</v>
      </c>
      <c r="S381" s="398" t="s">
        <v>293</v>
      </c>
      <c r="T381" s="399">
        <v>20</v>
      </c>
      <c r="U381" s="400">
        <v>50</v>
      </c>
      <c r="V381" s="400">
        <v>45</v>
      </c>
    </row>
    <row r="382" spans="17:22" ht="15" customHeight="1" hidden="1">
      <c r="Q382" s="398">
        <v>313</v>
      </c>
      <c r="R382" s="398" t="s">
        <v>257</v>
      </c>
      <c r="S382" s="398" t="s">
        <v>293</v>
      </c>
      <c r="T382" s="399">
        <v>20</v>
      </c>
      <c r="U382" s="400">
        <v>50</v>
      </c>
      <c r="V382" s="400">
        <v>45</v>
      </c>
    </row>
    <row r="383" spans="17:22" ht="15" customHeight="1" hidden="1">
      <c r="Q383" s="398">
        <v>314</v>
      </c>
      <c r="R383" s="398" t="s">
        <v>262</v>
      </c>
      <c r="S383" s="398" t="s">
        <v>293</v>
      </c>
      <c r="T383" s="399">
        <v>20</v>
      </c>
      <c r="U383" s="400">
        <v>50</v>
      </c>
      <c r="V383" s="400">
        <v>45</v>
      </c>
    </row>
    <row r="384" spans="17:22" ht="15" customHeight="1" hidden="1">
      <c r="Q384" s="398">
        <v>315</v>
      </c>
      <c r="R384" s="398" t="s">
        <v>270</v>
      </c>
      <c r="S384" s="398" t="s">
        <v>293</v>
      </c>
      <c r="T384" s="399">
        <v>20</v>
      </c>
      <c r="U384" s="400">
        <v>50</v>
      </c>
      <c r="V384" s="400">
        <v>45</v>
      </c>
    </row>
    <row r="385" spans="17:22" ht="15" customHeight="1" hidden="1">
      <c r="Q385" s="398">
        <v>316</v>
      </c>
      <c r="R385" s="398" t="s">
        <v>261</v>
      </c>
      <c r="S385" s="398" t="s">
        <v>293</v>
      </c>
      <c r="T385" s="399">
        <v>20</v>
      </c>
      <c r="U385" s="400">
        <v>50</v>
      </c>
      <c r="V385" s="400">
        <v>45</v>
      </c>
    </row>
    <row r="386" spans="17:22" ht="15" customHeight="1" hidden="1">
      <c r="Q386" s="398">
        <v>317</v>
      </c>
      <c r="R386" s="398" t="s">
        <v>268</v>
      </c>
      <c r="S386" s="398" t="s">
        <v>293</v>
      </c>
      <c r="T386" s="399">
        <v>20</v>
      </c>
      <c r="U386" s="400">
        <v>50</v>
      </c>
      <c r="V386" s="400">
        <v>45</v>
      </c>
    </row>
    <row r="387" spans="17:22" ht="15" customHeight="1" hidden="1">
      <c r="Q387" s="398">
        <v>318</v>
      </c>
      <c r="R387" s="398" t="s">
        <v>269</v>
      </c>
      <c r="S387" s="398" t="s">
        <v>293</v>
      </c>
      <c r="T387" s="399">
        <v>20</v>
      </c>
      <c r="U387" s="400">
        <v>50</v>
      </c>
      <c r="V387" s="400">
        <v>45</v>
      </c>
    </row>
    <row r="388" spans="17:22" ht="15" customHeight="1" hidden="1">
      <c r="Q388" s="398">
        <v>319</v>
      </c>
      <c r="R388" s="398" t="s">
        <v>263</v>
      </c>
      <c r="S388" s="398" t="s">
        <v>293</v>
      </c>
      <c r="T388" s="399">
        <v>30</v>
      </c>
      <c r="U388" s="400">
        <v>50</v>
      </c>
      <c r="V388" s="400">
        <v>45</v>
      </c>
    </row>
    <row r="389" spans="17:22" ht="15" customHeight="1" hidden="1">
      <c r="Q389" s="398">
        <v>320</v>
      </c>
      <c r="R389" s="398" t="s">
        <v>264</v>
      </c>
      <c r="S389" s="398" t="s">
        <v>293</v>
      </c>
      <c r="T389" s="399">
        <v>20</v>
      </c>
      <c r="U389" s="400">
        <v>50</v>
      </c>
      <c r="V389" s="400">
        <v>45</v>
      </c>
    </row>
    <row r="390" spans="17:22" ht="15" customHeight="1" hidden="1">
      <c r="Q390" s="398">
        <v>321</v>
      </c>
      <c r="R390" s="398" t="s">
        <v>254</v>
      </c>
      <c r="S390" s="398" t="s">
        <v>293</v>
      </c>
      <c r="T390" s="399">
        <v>20</v>
      </c>
      <c r="U390" s="400">
        <v>50</v>
      </c>
      <c r="V390" s="400">
        <v>45</v>
      </c>
    </row>
    <row r="391" spans="17:22" ht="15" customHeight="1" hidden="1">
      <c r="Q391" s="398">
        <v>322</v>
      </c>
      <c r="R391" s="398" t="s">
        <v>259</v>
      </c>
      <c r="S391" s="398" t="s">
        <v>293</v>
      </c>
      <c r="T391" s="399">
        <v>20</v>
      </c>
      <c r="U391" s="400">
        <v>50</v>
      </c>
      <c r="V391" s="400">
        <v>45</v>
      </c>
    </row>
    <row r="392" spans="17:22" ht="15" customHeight="1" hidden="1">
      <c r="Q392" s="398">
        <v>323</v>
      </c>
      <c r="R392" s="398" t="s">
        <v>266</v>
      </c>
      <c r="S392" s="398" t="s">
        <v>293</v>
      </c>
      <c r="T392" s="399">
        <v>20</v>
      </c>
      <c r="U392" s="400">
        <v>50</v>
      </c>
      <c r="V392" s="400">
        <v>45</v>
      </c>
    </row>
    <row r="393" spans="17:22" ht="15" customHeight="1" hidden="1">
      <c r="Q393" s="398">
        <v>324</v>
      </c>
      <c r="R393" s="398" t="s">
        <v>260</v>
      </c>
      <c r="S393" s="398" t="s">
        <v>293</v>
      </c>
      <c r="T393" s="399">
        <v>20</v>
      </c>
      <c r="U393" s="400">
        <v>50</v>
      </c>
      <c r="V393" s="400">
        <v>45</v>
      </c>
    </row>
    <row r="394" spans="17:22" ht="15" customHeight="1" hidden="1">
      <c r="Q394" s="398">
        <v>325</v>
      </c>
      <c r="R394" s="398" t="s">
        <v>258</v>
      </c>
      <c r="S394" s="398" t="s">
        <v>294</v>
      </c>
      <c r="T394" s="399">
        <v>25</v>
      </c>
      <c r="U394" s="400">
        <v>50</v>
      </c>
      <c r="V394" s="400">
        <v>45</v>
      </c>
    </row>
    <row r="395" spans="17:22" ht="15" customHeight="1" hidden="1">
      <c r="Q395" s="398">
        <v>326</v>
      </c>
      <c r="R395" s="398" t="s">
        <v>267</v>
      </c>
      <c r="S395" s="398" t="s">
        <v>294</v>
      </c>
      <c r="T395" s="399">
        <v>25</v>
      </c>
      <c r="U395" s="400">
        <v>50</v>
      </c>
      <c r="V395" s="400">
        <v>45</v>
      </c>
    </row>
    <row r="396" spans="17:22" ht="15" customHeight="1" hidden="1">
      <c r="Q396" s="398">
        <v>327</v>
      </c>
      <c r="R396" s="398" t="s">
        <v>271</v>
      </c>
      <c r="S396" s="398" t="s">
        <v>294</v>
      </c>
      <c r="T396" s="399">
        <v>30</v>
      </c>
      <c r="U396" s="400">
        <v>50</v>
      </c>
      <c r="V396" s="400">
        <v>45</v>
      </c>
    </row>
    <row r="397" spans="17:22" ht="15" customHeight="1" hidden="1">
      <c r="Q397" s="398">
        <v>328</v>
      </c>
      <c r="R397" s="398" t="s">
        <v>256</v>
      </c>
      <c r="S397" s="398" t="s">
        <v>294</v>
      </c>
      <c r="T397" s="399">
        <v>30</v>
      </c>
      <c r="U397" s="400">
        <v>50</v>
      </c>
      <c r="V397" s="400">
        <v>45</v>
      </c>
    </row>
    <row r="398" spans="17:22" ht="15" customHeight="1" hidden="1">
      <c r="Q398" s="398">
        <v>329</v>
      </c>
      <c r="R398" s="398" t="s">
        <v>255</v>
      </c>
      <c r="S398" s="398" t="s">
        <v>294</v>
      </c>
      <c r="T398" s="399">
        <v>30</v>
      </c>
      <c r="U398" s="400">
        <v>50</v>
      </c>
      <c r="V398" s="400">
        <v>45</v>
      </c>
    </row>
    <row r="399" spans="17:22" ht="15" customHeight="1" hidden="1">
      <c r="Q399" s="398">
        <v>330</v>
      </c>
      <c r="R399" s="398" t="s">
        <v>265</v>
      </c>
      <c r="S399" s="398" t="s">
        <v>294</v>
      </c>
      <c r="T399" s="399">
        <v>25</v>
      </c>
      <c r="U399" s="400">
        <v>50</v>
      </c>
      <c r="V399" s="400">
        <v>45</v>
      </c>
    </row>
    <row r="400" spans="17:22" ht="15" customHeight="1" hidden="1">
      <c r="Q400" s="398">
        <v>331</v>
      </c>
      <c r="R400" s="398" t="s">
        <v>257</v>
      </c>
      <c r="S400" s="398" t="s">
        <v>294</v>
      </c>
      <c r="T400" s="399">
        <v>30</v>
      </c>
      <c r="U400" s="400">
        <v>50</v>
      </c>
      <c r="V400" s="400">
        <v>45</v>
      </c>
    </row>
    <row r="401" spans="17:22" ht="15" customHeight="1" hidden="1">
      <c r="Q401" s="398">
        <v>332</v>
      </c>
      <c r="R401" s="398" t="s">
        <v>262</v>
      </c>
      <c r="S401" s="398" t="s">
        <v>294</v>
      </c>
      <c r="T401" s="399">
        <v>30</v>
      </c>
      <c r="U401" s="400">
        <v>50</v>
      </c>
      <c r="V401" s="400">
        <v>45</v>
      </c>
    </row>
    <row r="402" spans="17:22" ht="15" customHeight="1" hidden="1">
      <c r="Q402" s="398">
        <v>333</v>
      </c>
      <c r="R402" s="398" t="s">
        <v>270</v>
      </c>
      <c r="S402" s="398" t="s">
        <v>294</v>
      </c>
      <c r="T402" s="399">
        <v>30</v>
      </c>
      <c r="U402" s="400">
        <v>50</v>
      </c>
      <c r="V402" s="400">
        <v>45</v>
      </c>
    </row>
    <row r="403" spans="17:22" ht="15" customHeight="1" hidden="1">
      <c r="Q403" s="398">
        <v>334</v>
      </c>
      <c r="R403" s="398" t="s">
        <v>261</v>
      </c>
      <c r="S403" s="398" t="s">
        <v>294</v>
      </c>
      <c r="T403" s="399">
        <v>30</v>
      </c>
      <c r="U403" s="400">
        <v>50</v>
      </c>
      <c r="V403" s="400">
        <v>45</v>
      </c>
    </row>
    <row r="404" spans="17:22" ht="15" customHeight="1" hidden="1">
      <c r="Q404" s="398">
        <v>335</v>
      </c>
      <c r="R404" s="398" t="s">
        <v>268</v>
      </c>
      <c r="S404" s="398" t="s">
        <v>294</v>
      </c>
      <c r="T404" s="399">
        <v>20</v>
      </c>
      <c r="U404" s="400">
        <v>50</v>
      </c>
      <c r="V404" s="400">
        <v>45</v>
      </c>
    </row>
    <row r="405" spans="17:22" ht="15" customHeight="1" hidden="1">
      <c r="Q405" s="398">
        <v>336</v>
      </c>
      <c r="R405" s="398" t="s">
        <v>269</v>
      </c>
      <c r="S405" s="398" t="s">
        <v>294</v>
      </c>
      <c r="T405" s="399">
        <v>30</v>
      </c>
      <c r="U405" s="400">
        <v>50</v>
      </c>
      <c r="V405" s="400">
        <v>45</v>
      </c>
    </row>
    <row r="406" spans="17:22" ht="15" customHeight="1" hidden="1">
      <c r="Q406" s="398">
        <v>337</v>
      </c>
      <c r="R406" s="398" t="s">
        <v>263</v>
      </c>
      <c r="S406" s="398" t="s">
        <v>294</v>
      </c>
      <c r="T406" s="399">
        <v>30</v>
      </c>
      <c r="U406" s="400">
        <v>50</v>
      </c>
      <c r="V406" s="400">
        <v>45</v>
      </c>
    </row>
    <row r="407" spans="17:22" ht="15" customHeight="1" hidden="1">
      <c r="Q407" s="398">
        <v>338</v>
      </c>
      <c r="R407" s="398" t="s">
        <v>264</v>
      </c>
      <c r="S407" s="398" t="s">
        <v>294</v>
      </c>
      <c r="T407" s="399">
        <v>25</v>
      </c>
      <c r="U407" s="400">
        <v>50</v>
      </c>
      <c r="V407" s="400">
        <v>45</v>
      </c>
    </row>
    <row r="408" spans="17:22" ht="15" customHeight="1" hidden="1">
      <c r="Q408" s="398">
        <v>339</v>
      </c>
      <c r="R408" s="398" t="s">
        <v>254</v>
      </c>
      <c r="S408" s="398" t="s">
        <v>294</v>
      </c>
      <c r="T408" s="399">
        <v>30</v>
      </c>
      <c r="U408" s="400">
        <v>50</v>
      </c>
      <c r="V408" s="400">
        <v>45</v>
      </c>
    </row>
    <row r="409" spans="17:22" ht="15" customHeight="1" hidden="1">
      <c r="Q409" s="398">
        <v>340</v>
      </c>
      <c r="R409" s="398" t="s">
        <v>259</v>
      </c>
      <c r="S409" s="398" t="s">
        <v>294</v>
      </c>
      <c r="T409" s="399">
        <v>25</v>
      </c>
      <c r="U409" s="400">
        <v>50</v>
      </c>
      <c r="V409" s="400">
        <v>45</v>
      </c>
    </row>
    <row r="410" spans="17:22" ht="15" customHeight="1" hidden="1">
      <c r="Q410" s="398">
        <v>341</v>
      </c>
      <c r="R410" s="398" t="s">
        <v>266</v>
      </c>
      <c r="S410" s="398" t="s">
        <v>294</v>
      </c>
      <c r="T410" s="399">
        <v>20</v>
      </c>
      <c r="U410" s="400">
        <v>50</v>
      </c>
      <c r="V410" s="400">
        <v>45</v>
      </c>
    </row>
    <row r="411" spans="17:22" ht="15" customHeight="1" hidden="1">
      <c r="Q411" s="398">
        <v>342</v>
      </c>
      <c r="R411" s="398" t="s">
        <v>260</v>
      </c>
      <c r="S411" s="398" t="s">
        <v>294</v>
      </c>
      <c r="T411" s="399">
        <v>20</v>
      </c>
      <c r="U411" s="400">
        <v>50</v>
      </c>
      <c r="V411" s="400">
        <v>45</v>
      </c>
    </row>
    <row r="412" spans="17:22" ht="15" customHeight="1" hidden="1">
      <c r="Q412" s="398">
        <v>343</v>
      </c>
      <c r="R412" s="398" t="s">
        <v>258</v>
      </c>
      <c r="S412" s="398" t="s">
        <v>295</v>
      </c>
      <c r="T412" s="399">
        <v>20</v>
      </c>
      <c r="U412" s="400">
        <v>50</v>
      </c>
      <c r="V412" s="400">
        <v>45</v>
      </c>
    </row>
    <row r="413" spans="17:22" ht="15" customHeight="1" hidden="1">
      <c r="Q413" s="398">
        <v>344</v>
      </c>
      <c r="R413" s="398" t="s">
        <v>267</v>
      </c>
      <c r="S413" s="398" t="s">
        <v>295</v>
      </c>
      <c r="T413" s="399">
        <v>20</v>
      </c>
      <c r="U413" s="400">
        <v>50</v>
      </c>
      <c r="V413" s="400">
        <v>45</v>
      </c>
    </row>
    <row r="414" spans="17:22" ht="15" customHeight="1" hidden="1">
      <c r="Q414" s="398">
        <v>345</v>
      </c>
      <c r="R414" s="398" t="s">
        <v>271</v>
      </c>
      <c r="S414" s="398" t="s">
        <v>295</v>
      </c>
      <c r="T414" s="399">
        <v>30</v>
      </c>
      <c r="U414" s="400">
        <v>50</v>
      </c>
      <c r="V414" s="400">
        <v>45</v>
      </c>
    </row>
    <row r="415" spans="17:22" ht="15" customHeight="1" hidden="1">
      <c r="Q415" s="398">
        <v>346</v>
      </c>
      <c r="R415" s="398" t="s">
        <v>256</v>
      </c>
      <c r="S415" s="398" t="s">
        <v>295</v>
      </c>
      <c r="T415" s="399">
        <v>20</v>
      </c>
      <c r="U415" s="400">
        <v>50</v>
      </c>
      <c r="V415" s="400">
        <v>45</v>
      </c>
    </row>
    <row r="416" spans="17:22" ht="15" customHeight="1" hidden="1">
      <c r="Q416" s="398">
        <v>347</v>
      </c>
      <c r="R416" s="398" t="s">
        <v>255</v>
      </c>
      <c r="S416" s="398" t="s">
        <v>295</v>
      </c>
      <c r="T416" s="399">
        <v>20</v>
      </c>
      <c r="U416" s="400">
        <v>50</v>
      </c>
      <c r="V416" s="400">
        <v>45</v>
      </c>
    </row>
    <row r="417" spans="17:22" ht="15" customHeight="1" hidden="1">
      <c r="Q417" s="398">
        <v>348</v>
      </c>
      <c r="R417" s="398" t="s">
        <v>265</v>
      </c>
      <c r="S417" s="398" t="s">
        <v>295</v>
      </c>
      <c r="T417" s="399">
        <v>20</v>
      </c>
      <c r="U417" s="400">
        <v>50</v>
      </c>
      <c r="V417" s="400">
        <v>45</v>
      </c>
    </row>
    <row r="418" spans="17:22" ht="15" customHeight="1" hidden="1">
      <c r="Q418" s="398">
        <v>349</v>
      </c>
      <c r="R418" s="398" t="s">
        <v>257</v>
      </c>
      <c r="S418" s="398" t="s">
        <v>295</v>
      </c>
      <c r="T418" s="399">
        <v>20</v>
      </c>
      <c r="U418" s="400">
        <v>50</v>
      </c>
      <c r="V418" s="400">
        <v>45</v>
      </c>
    </row>
    <row r="419" spans="17:22" ht="15" customHeight="1" hidden="1">
      <c r="Q419" s="398">
        <v>350</v>
      </c>
      <c r="R419" s="398" t="s">
        <v>262</v>
      </c>
      <c r="S419" s="398" t="s">
        <v>295</v>
      </c>
      <c r="T419" s="399">
        <v>20</v>
      </c>
      <c r="U419" s="400">
        <v>50</v>
      </c>
      <c r="V419" s="400">
        <v>45</v>
      </c>
    </row>
    <row r="420" spans="17:22" ht="15" customHeight="1" hidden="1">
      <c r="Q420" s="398">
        <v>351</v>
      </c>
      <c r="R420" s="398" t="s">
        <v>270</v>
      </c>
      <c r="S420" s="398" t="s">
        <v>295</v>
      </c>
      <c r="T420" s="399">
        <v>20</v>
      </c>
      <c r="U420" s="400">
        <v>50</v>
      </c>
      <c r="V420" s="400">
        <v>45</v>
      </c>
    </row>
    <row r="421" spans="17:22" ht="15" customHeight="1" hidden="1">
      <c r="Q421" s="398">
        <v>352</v>
      </c>
      <c r="R421" s="398" t="s">
        <v>261</v>
      </c>
      <c r="S421" s="398" t="s">
        <v>295</v>
      </c>
      <c r="T421" s="399">
        <v>20</v>
      </c>
      <c r="U421" s="400">
        <v>50</v>
      </c>
      <c r="V421" s="400">
        <v>45</v>
      </c>
    </row>
    <row r="422" spans="17:22" ht="15" customHeight="1" hidden="1">
      <c r="Q422" s="398">
        <v>353</v>
      </c>
      <c r="R422" s="398" t="s">
        <v>268</v>
      </c>
      <c r="S422" s="398" t="s">
        <v>295</v>
      </c>
      <c r="T422" s="399">
        <v>20</v>
      </c>
      <c r="U422" s="400">
        <v>50</v>
      </c>
      <c r="V422" s="400">
        <v>45</v>
      </c>
    </row>
    <row r="423" spans="17:22" ht="15" customHeight="1" hidden="1">
      <c r="Q423" s="398">
        <v>354</v>
      </c>
      <c r="R423" s="398" t="s">
        <v>269</v>
      </c>
      <c r="S423" s="398" t="s">
        <v>295</v>
      </c>
      <c r="T423" s="399">
        <v>20</v>
      </c>
      <c r="U423" s="400">
        <v>50</v>
      </c>
      <c r="V423" s="400">
        <v>45</v>
      </c>
    </row>
    <row r="424" spans="17:22" ht="15" customHeight="1" hidden="1">
      <c r="Q424" s="398">
        <v>355</v>
      </c>
      <c r="R424" s="398" t="s">
        <v>263</v>
      </c>
      <c r="S424" s="398" t="s">
        <v>295</v>
      </c>
      <c r="T424" s="399">
        <v>30</v>
      </c>
      <c r="U424" s="400">
        <v>50</v>
      </c>
      <c r="V424" s="400">
        <v>45</v>
      </c>
    </row>
    <row r="425" spans="17:22" ht="15" customHeight="1" hidden="1">
      <c r="Q425" s="398">
        <v>356</v>
      </c>
      <c r="R425" s="398" t="s">
        <v>264</v>
      </c>
      <c r="S425" s="398" t="s">
        <v>295</v>
      </c>
      <c r="T425" s="399">
        <v>20</v>
      </c>
      <c r="U425" s="400">
        <v>50</v>
      </c>
      <c r="V425" s="400">
        <v>45</v>
      </c>
    </row>
    <row r="426" spans="17:22" ht="15" customHeight="1" hidden="1">
      <c r="Q426" s="398">
        <v>357</v>
      </c>
      <c r="R426" s="398" t="s">
        <v>254</v>
      </c>
      <c r="S426" s="398" t="s">
        <v>295</v>
      </c>
      <c r="T426" s="399">
        <v>20</v>
      </c>
      <c r="U426" s="400">
        <v>50</v>
      </c>
      <c r="V426" s="400">
        <v>45</v>
      </c>
    </row>
    <row r="427" spans="17:22" ht="15" customHeight="1" hidden="1">
      <c r="Q427" s="398">
        <v>358</v>
      </c>
      <c r="R427" s="398" t="s">
        <v>259</v>
      </c>
      <c r="S427" s="398" t="s">
        <v>295</v>
      </c>
      <c r="T427" s="399">
        <v>20</v>
      </c>
      <c r="U427" s="400">
        <v>50</v>
      </c>
      <c r="V427" s="400">
        <v>45</v>
      </c>
    </row>
    <row r="428" spans="17:22" ht="15" customHeight="1" hidden="1">
      <c r="Q428" s="398">
        <v>359</v>
      </c>
      <c r="R428" s="398" t="s">
        <v>266</v>
      </c>
      <c r="S428" s="398" t="s">
        <v>295</v>
      </c>
      <c r="T428" s="399">
        <v>20</v>
      </c>
      <c r="U428" s="400">
        <v>50</v>
      </c>
      <c r="V428" s="400">
        <v>45</v>
      </c>
    </row>
    <row r="429" spans="17:22" ht="15" customHeight="1" hidden="1">
      <c r="Q429" s="398">
        <v>360</v>
      </c>
      <c r="R429" s="398" t="s">
        <v>260</v>
      </c>
      <c r="S429" s="398" t="s">
        <v>295</v>
      </c>
      <c r="T429" s="399">
        <v>20</v>
      </c>
      <c r="U429" s="400">
        <v>50</v>
      </c>
      <c r="V429" s="400">
        <v>45</v>
      </c>
    </row>
    <row r="430" spans="17:22" ht="15" customHeight="1" hidden="1">
      <c r="Q430" s="398">
        <v>361</v>
      </c>
      <c r="R430" s="398" t="s">
        <v>258</v>
      </c>
      <c r="S430" s="398" t="s">
        <v>296</v>
      </c>
      <c r="T430" s="399">
        <v>25</v>
      </c>
      <c r="U430" s="400">
        <v>50</v>
      </c>
      <c r="V430" s="400">
        <v>45</v>
      </c>
    </row>
    <row r="431" spans="17:22" ht="15" customHeight="1" hidden="1">
      <c r="Q431" s="398">
        <v>362</v>
      </c>
      <c r="R431" s="398" t="s">
        <v>267</v>
      </c>
      <c r="S431" s="398" t="s">
        <v>296</v>
      </c>
      <c r="T431" s="399">
        <v>25</v>
      </c>
      <c r="U431" s="400">
        <v>50</v>
      </c>
      <c r="V431" s="400">
        <v>45</v>
      </c>
    </row>
    <row r="432" spans="17:22" ht="15" customHeight="1" hidden="1">
      <c r="Q432" s="398">
        <v>363</v>
      </c>
      <c r="R432" s="398" t="s">
        <v>271</v>
      </c>
      <c r="S432" s="398" t="s">
        <v>296</v>
      </c>
      <c r="T432" s="399">
        <v>30</v>
      </c>
      <c r="U432" s="400">
        <v>50</v>
      </c>
      <c r="V432" s="400">
        <v>45</v>
      </c>
    </row>
    <row r="433" spans="17:22" ht="15" customHeight="1" hidden="1">
      <c r="Q433" s="398">
        <v>364</v>
      </c>
      <c r="R433" s="398" t="s">
        <v>256</v>
      </c>
      <c r="S433" s="398" t="s">
        <v>296</v>
      </c>
      <c r="T433" s="399">
        <v>30</v>
      </c>
      <c r="U433" s="400">
        <v>50</v>
      </c>
      <c r="V433" s="400">
        <v>45</v>
      </c>
    </row>
    <row r="434" spans="17:22" ht="15" customHeight="1" hidden="1">
      <c r="Q434" s="398">
        <v>365</v>
      </c>
      <c r="R434" s="398" t="s">
        <v>255</v>
      </c>
      <c r="S434" s="398" t="s">
        <v>296</v>
      </c>
      <c r="T434" s="399">
        <v>30</v>
      </c>
      <c r="U434" s="400">
        <v>50</v>
      </c>
      <c r="V434" s="400">
        <v>45</v>
      </c>
    </row>
    <row r="435" spans="17:22" ht="15" customHeight="1" hidden="1">
      <c r="Q435" s="398">
        <v>366</v>
      </c>
      <c r="R435" s="398" t="s">
        <v>265</v>
      </c>
      <c r="S435" s="398" t="s">
        <v>296</v>
      </c>
      <c r="T435" s="399">
        <v>25</v>
      </c>
      <c r="U435" s="400">
        <v>50</v>
      </c>
      <c r="V435" s="400">
        <v>45</v>
      </c>
    </row>
    <row r="436" spans="17:22" ht="15" customHeight="1" hidden="1">
      <c r="Q436" s="398">
        <v>367</v>
      </c>
      <c r="R436" s="398" t="s">
        <v>257</v>
      </c>
      <c r="S436" s="398" t="s">
        <v>296</v>
      </c>
      <c r="T436" s="399">
        <v>30</v>
      </c>
      <c r="U436" s="400">
        <v>50</v>
      </c>
      <c r="V436" s="400">
        <v>45</v>
      </c>
    </row>
    <row r="437" spans="17:22" ht="15" customHeight="1" hidden="1">
      <c r="Q437" s="398">
        <v>368</v>
      </c>
      <c r="R437" s="398" t="s">
        <v>262</v>
      </c>
      <c r="S437" s="398" t="s">
        <v>296</v>
      </c>
      <c r="T437" s="399">
        <v>30</v>
      </c>
      <c r="U437" s="400">
        <v>50</v>
      </c>
      <c r="V437" s="400">
        <v>45</v>
      </c>
    </row>
    <row r="438" spans="17:22" ht="15" customHeight="1" hidden="1">
      <c r="Q438" s="398">
        <v>369</v>
      </c>
      <c r="R438" s="398" t="s">
        <v>270</v>
      </c>
      <c r="S438" s="398" t="s">
        <v>296</v>
      </c>
      <c r="T438" s="399">
        <v>30</v>
      </c>
      <c r="U438" s="400">
        <v>50</v>
      </c>
      <c r="V438" s="400">
        <v>45</v>
      </c>
    </row>
    <row r="439" spans="17:22" ht="15" customHeight="1" hidden="1">
      <c r="Q439" s="398">
        <v>370</v>
      </c>
      <c r="R439" s="398" t="s">
        <v>261</v>
      </c>
      <c r="S439" s="398" t="s">
        <v>296</v>
      </c>
      <c r="T439" s="399">
        <v>30</v>
      </c>
      <c r="U439" s="400">
        <v>50</v>
      </c>
      <c r="V439" s="400">
        <v>45</v>
      </c>
    </row>
    <row r="440" spans="17:22" ht="15" customHeight="1" hidden="1">
      <c r="Q440" s="398">
        <v>371</v>
      </c>
      <c r="R440" s="398" t="s">
        <v>268</v>
      </c>
      <c r="S440" s="398" t="s">
        <v>296</v>
      </c>
      <c r="T440" s="399">
        <v>30</v>
      </c>
      <c r="U440" s="400">
        <v>50</v>
      </c>
      <c r="V440" s="400">
        <v>45</v>
      </c>
    </row>
    <row r="441" spans="17:22" ht="15" customHeight="1" hidden="1">
      <c r="Q441" s="398">
        <v>372</v>
      </c>
      <c r="R441" s="398" t="s">
        <v>269</v>
      </c>
      <c r="S441" s="398" t="s">
        <v>296</v>
      </c>
      <c r="T441" s="399">
        <v>30</v>
      </c>
      <c r="U441" s="400">
        <v>50</v>
      </c>
      <c r="V441" s="400">
        <v>45</v>
      </c>
    </row>
    <row r="442" spans="17:22" ht="15" customHeight="1" hidden="1">
      <c r="Q442" s="398">
        <v>373</v>
      </c>
      <c r="R442" s="398" t="s">
        <v>263</v>
      </c>
      <c r="S442" s="398" t="s">
        <v>296</v>
      </c>
      <c r="T442" s="399">
        <v>30</v>
      </c>
      <c r="U442" s="400">
        <v>50</v>
      </c>
      <c r="V442" s="400">
        <v>45</v>
      </c>
    </row>
    <row r="443" spans="17:22" ht="15" customHeight="1" hidden="1">
      <c r="Q443" s="398">
        <v>374</v>
      </c>
      <c r="R443" s="398" t="s">
        <v>264</v>
      </c>
      <c r="S443" s="398" t="s">
        <v>296</v>
      </c>
      <c r="T443" s="399">
        <v>25</v>
      </c>
      <c r="U443" s="400">
        <v>50</v>
      </c>
      <c r="V443" s="400">
        <v>45</v>
      </c>
    </row>
    <row r="444" spans="17:22" ht="15" customHeight="1" hidden="1">
      <c r="Q444" s="398">
        <v>375</v>
      </c>
      <c r="R444" s="398" t="s">
        <v>254</v>
      </c>
      <c r="S444" s="398" t="s">
        <v>296</v>
      </c>
      <c r="T444" s="399">
        <v>30</v>
      </c>
      <c r="U444" s="400">
        <v>50</v>
      </c>
      <c r="V444" s="400">
        <v>45</v>
      </c>
    </row>
    <row r="445" spans="17:22" ht="15" customHeight="1" hidden="1">
      <c r="Q445" s="398">
        <v>376</v>
      </c>
      <c r="R445" s="398" t="s">
        <v>259</v>
      </c>
      <c r="S445" s="398" t="s">
        <v>296</v>
      </c>
      <c r="T445" s="399">
        <v>30</v>
      </c>
      <c r="U445" s="400">
        <v>50</v>
      </c>
      <c r="V445" s="400">
        <v>45</v>
      </c>
    </row>
    <row r="446" spans="17:22" ht="15" customHeight="1" hidden="1">
      <c r="Q446" s="398">
        <v>377</v>
      </c>
      <c r="R446" s="398" t="s">
        <v>266</v>
      </c>
      <c r="S446" s="398" t="s">
        <v>296</v>
      </c>
      <c r="T446" s="399">
        <v>30</v>
      </c>
      <c r="U446" s="400">
        <v>50</v>
      </c>
      <c r="V446" s="400">
        <v>45</v>
      </c>
    </row>
    <row r="447" spans="17:22" ht="15" customHeight="1" hidden="1">
      <c r="Q447" s="398">
        <v>378</v>
      </c>
      <c r="R447" s="398" t="s">
        <v>260</v>
      </c>
      <c r="S447" s="398" t="s">
        <v>296</v>
      </c>
      <c r="T447" s="399">
        <v>30</v>
      </c>
      <c r="U447" s="400">
        <v>50</v>
      </c>
      <c r="V447" s="400">
        <v>45</v>
      </c>
    </row>
    <row r="448" spans="17:22" ht="15" customHeight="1" hidden="1">
      <c r="Q448" s="398">
        <v>379</v>
      </c>
      <c r="R448" s="398" t="s">
        <v>258</v>
      </c>
      <c r="S448" s="398" t="s">
        <v>297</v>
      </c>
      <c r="T448" s="399">
        <v>40</v>
      </c>
      <c r="U448" s="400">
        <v>50</v>
      </c>
      <c r="V448" s="400">
        <v>45</v>
      </c>
    </row>
    <row r="449" spans="17:22" ht="15" customHeight="1" hidden="1">
      <c r="Q449" s="398">
        <v>380</v>
      </c>
      <c r="R449" s="398" t="s">
        <v>267</v>
      </c>
      <c r="S449" s="398" t="s">
        <v>297</v>
      </c>
      <c r="T449" s="399">
        <v>40</v>
      </c>
      <c r="U449" s="400">
        <v>50</v>
      </c>
      <c r="V449" s="400">
        <v>45</v>
      </c>
    </row>
    <row r="450" spans="17:22" ht="15" customHeight="1" hidden="1">
      <c r="Q450" s="398">
        <v>381</v>
      </c>
      <c r="R450" s="398" t="s">
        <v>271</v>
      </c>
      <c r="S450" s="398" t="s">
        <v>297</v>
      </c>
      <c r="T450" s="399">
        <v>30</v>
      </c>
      <c r="U450" s="400">
        <v>50</v>
      </c>
      <c r="V450" s="400">
        <v>45</v>
      </c>
    </row>
    <row r="451" spans="17:22" ht="15" customHeight="1" hidden="1">
      <c r="Q451" s="398">
        <v>382</v>
      </c>
      <c r="R451" s="398" t="s">
        <v>256</v>
      </c>
      <c r="S451" s="398" t="s">
        <v>297</v>
      </c>
      <c r="T451" s="399">
        <v>30</v>
      </c>
      <c r="U451" s="400">
        <v>50</v>
      </c>
      <c r="V451" s="400">
        <v>45</v>
      </c>
    </row>
    <row r="452" spans="17:22" ht="15" customHeight="1" hidden="1">
      <c r="Q452" s="398">
        <v>383</v>
      </c>
      <c r="R452" s="398" t="s">
        <v>255</v>
      </c>
      <c r="S452" s="398" t="s">
        <v>297</v>
      </c>
      <c r="T452" s="399">
        <v>30</v>
      </c>
      <c r="U452" s="400">
        <v>50</v>
      </c>
      <c r="V452" s="400">
        <v>45</v>
      </c>
    </row>
    <row r="453" spans="17:22" ht="15" customHeight="1" hidden="1">
      <c r="Q453" s="398">
        <v>384</v>
      </c>
      <c r="R453" s="398" t="s">
        <v>265</v>
      </c>
      <c r="S453" s="398" t="s">
        <v>297</v>
      </c>
      <c r="T453" s="399">
        <v>30</v>
      </c>
      <c r="U453" s="400">
        <v>50</v>
      </c>
      <c r="V453" s="400">
        <v>45</v>
      </c>
    </row>
    <row r="454" spans="17:22" ht="15" customHeight="1" hidden="1">
      <c r="Q454" s="398">
        <v>385</v>
      </c>
      <c r="R454" s="398" t="s">
        <v>257</v>
      </c>
      <c r="S454" s="398" t="s">
        <v>297</v>
      </c>
      <c r="T454" s="399">
        <v>30</v>
      </c>
      <c r="U454" s="400">
        <v>50</v>
      </c>
      <c r="V454" s="400">
        <v>45</v>
      </c>
    </row>
    <row r="455" spans="17:22" ht="15" customHeight="1" hidden="1">
      <c r="Q455" s="398">
        <v>386</v>
      </c>
      <c r="R455" s="398" t="s">
        <v>262</v>
      </c>
      <c r="S455" s="398" t="s">
        <v>297</v>
      </c>
      <c r="T455" s="399">
        <v>30</v>
      </c>
      <c r="U455" s="400">
        <v>50</v>
      </c>
      <c r="V455" s="400">
        <v>45</v>
      </c>
    </row>
    <row r="456" spans="17:22" ht="15" customHeight="1" hidden="1">
      <c r="Q456" s="398">
        <v>387</v>
      </c>
      <c r="R456" s="398" t="s">
        <v>270</v>
      </c>
      <c r="S456" s="398" t="s">
        <v>297</v>
      </c>
      <c r="T456" s="399">
        <v>30</v>
      </c>
      <c r="U456" s="400">
        <v>50</v>
      </c>
      <c r="V456" s="400">
        <v>45</v>
      </c>
    </row>
    <row r="457" spans="17:22" ht="15" customHeight="1" hidden="1">
      <c r="Q457" s="398">
        <v>388</v>
      </c>
      <c r="R457" s="398" t="s">
        <v>261</v>
      </c>
      <c r="S457" s="398" t="s">
        <v>297</v>
      </c>
      <c r="T457" s="399">
        <v>30</v>
      </c>
      <c r="U457" s="400">
        <v>50</v>
      </c>
      <c r="V457" s="400">
        <v>45</v>
      </c>
    </row>
    <row r="458" spans="17:22" ht="15" customHeight="1" hidden="1">
      <c r="Q458" s="398">
        <v>389</v>
      </c>
      <c r="R458" s="398" t="s">
        <v>268</v>
      </c>
      <c r="S458" s="398" t="s">
        <v>297</v>
      </c>
      <c r="T458" s="399">
        <v>30</v>
      </c>
      <c r="U458" s="400">
        <v>50</v>
      </c>
      <c r="V458" s="400">
        <v>45</v>
      </c>
    </row>
    <row r="459" spans="17:22" ht="15" customHeight="1" hidden="1">
      <c r="Q459" s="398">
        <v>390</v>
      </c>
      <c r="R459" s="398" t="s">
        <v>269</v>
      </c>
      <c r="S459" s="398" t="s">
        <v>297</v>
      </c>
      <c r="T459" s="399">
        <v>30</v>
      </c>
      <c r="U459" s="400">
        <v>50</v>
      </c>
      <c r="V459" s="400">
        <v>45</v>
      </c>
    </row>
    <row r="460" spans="17:22" ht="15" customHeight="1" hidden="1">
      <c r="Q460" s="398">
        <v>391</v>
      </c>
      <c r="R460" s="398" t="s">
        <v>263</v>
      </c>
      <c r="S460" s="398" t="s">
        <v>297</v>
      </c>
      <c r="T460" s="399">
        <v>30</v>
      </c>
      <c r="U460" s="400">
        <v>50</v>
      </c>
      <c r="V460" s="400">
        <v>45</v>
      </c>
    </row>
    <row r="461" spans="17:22" ht="15" customHeight="1" hidden="1">
      <c r="Q461" s="398">
        <v>392</v>
      </c>
      <c r="R461" s="398" t="s">
        <v>264</v>
      </c>
      <c r="S461" s="398" t="s">
        <v>297</v>
      </c>
      <c r="T461" s="399">
        <v>30</v>
      </c>
      <c r="U461" s="400">
        <v>50</v>
      </c>
      <c r="V461" s="400">
        <v>45</v>
      </c>
    </row>
    <row r="462" spans="17:22" ht="15" customHeight="1" hidden="1">
      <c r="Q462" s="398">
        <v>393</v>
      </c>
      <c r="R462" s="398" t="s">
        <v>254</v>
      </c>
      <c r="S462" s="398" t="s">
        <v>297</v>
      </c>
      <c r="T462" s="399">
        <v>30</v>
      </c>
      <c r="U462" s="400">
        <v>50</v>
      </c>
      <c r="V462" s="400">
        <v>45</v>
      </c>
    </row>
    <row r="463" spans="17:22" ht="15" customHeight="1" hidden="1">
      <c r="Q463" s="398">
        <v>394</v>
      </c>
      <c r="R463" s="398" t="s">
        <v>259</v>
      </c>
      <c r="S463" s="398" t="s">
        <v>297</v>
      </c>
      <c r="T463" s="399">
        <v>40</v>
      </c>
      <c r="U463" s="400">
        <v>50</v>
      </c>
      <c r="V463" s="400">
        <v>45</v>
      </c>
    </row>
    <row r="464" spans="17:22" ht="15" customHeight="1" hidden="1">
      <c r="Q464" s="398">
        <v>395</v>
      </c>
      <c r="R464" s="398" t="s">
        <v>266</v>
      </c>
      <c r="S464" s="398" t="s">
        <v>297</v>
      </c>
      <c r="T464" s="399">
        <v>30</v>
      </c>
      <c r="U464" s="400">
        <v>50</v>
      </c>
      <c r="V464" s="400">
        <v>45</v>
      </c>
    </row>
    <row r="465" spans="17:22" ht="15" customHeight="1" hidden="1">
      <c r="Q465" s="398">
        <v>396</v>
      </c>
      <c r="R465" s="398" t="s">
        <v>260</v>
      </c>
      <c r="S465" s="398" t="s">
        <v>297</v>
      </c>
      <c r="T465" s="399">
        <v>30</v>
      </c>
      <c r="U465" s="400">
        <v>50</v>
      </c>
      <c r="V465" s="400">
        <v>45</v>
      </c>
    </row>
    <row r="466" spans="17:22" ht="15" customHeight="1" hidden="1">
      <c r="Q466" s="398">
        <v>397</v>
      </c>
      <c r="R466" s="398" t="s">
        <v>258</v>
      </c>
      <c r="S466" s="398" t="s">
        <v>298</v>
      </c>
      <c r="T466" s="399">
        <v>40</v>
      </c>
      <c r="U466" s="400">
        <v>50</v>
      </c>
      <c r="V466" s="400">
        <v>45</v>
      </c>
    </row>
    <row r="467" spans="17:22" ht="15" customHeight="1" hidden="1">
      <c r="Q467" s="398">
        <v>398</v>
      </c>
      <c r="R467" s="398" t="s">
        <v>267</v>
      </c>
      <c r="S467" s="398" t="s">
        <v>298</v>
      </c>
      <c r="T467" s="399">
        <v>40</v>
      </c>
      <c r="U467" s="400">
        <v>50</v>
      </c>
      <c r="V467" s="400">
        <v>45</v>
      </c>
    </row>
    <row r="468" spans="17:22" ht="15" customHeight="1" hidden="1">
      <c r="Q468" s="398">
        <v>399</v>
      </c>
      <c r="R468" s="398" t="s">
        <v>271</v>
      </c>
      <c r="S468" s="398" t="s">
        <v>298</v>
      </c>
      <c r="T468" s="399">
        <v>30</v>
      </c>
      <c r="U468" s="400">
        <v>50</v>
      </c>
      <c r="V468" s="400">
        <v>45</v>
      </c>
    </row>
    <row r="469" spans="17:22" ht="15" customHeight="1" hidden="1">
      <c r="Q469" s="398">
        <v>400</v>
      </c>
      <c r="R469" s="398" t="s">
        <v>256</v>
      </c>
      <c r="S469" s="398" t="s">
        <v>298</v>
      </c>
      <c r="T469" s="399">
        <v>30</v>
      </c>
      <c r="U469" s="400">
        <v>50</v>
      </c>
      <c r="V469" s="400">
        <v>45</v>
      </c>
    </row>
    <row r="470" spans="17:22" ht="15" customHeight="1" hidden="1">
      <c r="Q470" s="398">
        <v>401</v>
      </c>
      <c r="R470" s="398" t="s">
        <v>255</v>
      </c>
      <c r="S470" s="398" t="s">
        <v>298</v>
      </c>
      <c r="T470" s="399">
        <v>30</v>
      </c>
      <c r="U470" s="400">
        <v>50</v>
      </c>
      <c r="V470" s="400">
        <v>45</v>
      </c>
    </row>
    <row r="471" spans="17:22" ht="15" customHeight="1" hidden="1">
      <c r="Q471" s="398">
        <v>402</v>
      </c>
      <c r="R471" s="398" t="s">
        <v>265</v>
      </c>
      <c r="S471" s="398" t="s">
        <v>298</v>
      </c>
      <c r="T471" s="399">
        <v>30</v>
      </c>
      <c r="U471" s="400">
        <v>50</v>
      </c>
      <c r="V471" s="400">
        <v>45</v>
      </c>
    </row>
    <row r="472" spans="17:22" ht="15" customHeight="1" hidden="1">
      <c r="Q472" s="398">
        <v>403</v>
      </c>
      <c r="R472" s="398" t="s">
        <v>257</v>
      </c>
      <c r="S472" s="398" t="s">
        <v>298</v>
      </c>
      <c r="T472" s="399">
        <v>30</v>
      </c>
      <c r="U472" s="400">
        <v>50</v>
      </c>
      <c r="V472" s="400">
        <v>45</v>
      </c>
    </row>
    <row r="473" spans="17:22" ht="15" customHeight="1" hidden="1">
      <c r="Q473" s="398">
        <v>404</v>
      </c>
      <c r="R473" s="398" t="s">
        <v>262</v>
      </c>
      <c r="S473" s="398" t="s">
        <v>298</v>
      </c>
      <c r="T473" s="399">
        <v>30</v>
      </c>
      <c r="U473" s="400">
        <v>50</v>
      </c>
      <c r="V473" s="400">
        <v>45</v>
      </c>
    </row>
    <row r="474" spans="17:22" ht="15" customHeight="1" hidden="1">
      <c r="Q474" s="398">
        <v>405</v>
      </c>
      <c r="R474" s="398" t="s">
        <v>270</v>
      </c>
      <c r="S474" s="398" t="s">
        <v>298</v>
      </c>
      <c r="T474" s="399">
        <v>30</v>
      </c>
      <c r="U474" s="400">
        <v>50</v>
      </c>
      <c r="V474" s="400">
        <v>45</v>
      </c>
    </row>
    <row r="475" spans="17:22" ht="15" customHeight="1" hidden="1">
      <c r="Q475" s="398">
        <v>406</v>
      </c>
      <c r="R475" s="398" t="s">
        <v>261</v>
      </c>
      <c r="S475" s="398" t="s">
        <v>298</v>
      </c>
      <c r="T475" s="399">
        <v>30</v>
      </c>
      <c r="U475" s="400">
        <v>50</v>
      </c>
      <c r="V475" s="400">
        <v>45</v>
      </c>
    </row>
    <row r="476" spans="17:22" ht="15" customHeight="1" hidden="1">
      <c r="Q476" s="398">
        <v>407</v>
      </c>
      <c r="R476" s="398" t="s">
        <v>268</v>
      </c>
      <c r="S476" s="398" t="s">
        <v>298</v>
      </c>
      <c r="T476" s="399">
        <v>30</v>
      </c>
      <c r="U476" s="400">
        <v>50</v>
      </c>
      <c r="V476" s="400">
        <v>45</v>
      </c>
    </row>
    <row r="477" spans="17:22" ht="15" customHeight="1" hidden="1">
      <c r="Q477" s="398">
        <v>408</v>
      </c>
      <c r="R477" s="398" t="s">
        <v>269</v>
      </c>
      <c r="S477" s="398" t="s">
        <v>298</v>
      </c>
      <c r="T477" s="399">
        <v>30</v>
      </c>
      <c r="U477" s="400">
        <v>50</v>
      </c>
      <c r="V477" s="400">
        <v>45</v>
      </c>
    </row>
    <row r="478" spans="17:22" ht="15" customHeight="1" hidden="1">
      <c r="Q478" s="398">
        <v>409</v>
      </c>
      <c r="R478" s="398" t="s">
        <v>263</v>
      </c>
      <c r="S478" s="398" t="s">
        <v>298</v>
      </c>
      <c r="T478" s="399">
        <v>30</v>
      </c>
      <c r="U478" s="400">
        <v>50</v>
      </c>
      <c r="V478" s="400">
        <v>45</v>
      </c>
    </row>
    <row r="479" spans="17:22" ht="15" customHeight="1" hidden="1">
      <c r="Q479" s="398">
        <v>410</v>
      </c>
      <c r="R479" s="398" t="s">
        <v>264</v>
      </c>
      <c r="S479" s="398" t="s">
        <v>298</v>
      </c>
      <c r="T479" s="399">
        <v>30</v>
      </c>
      <c r="U479" s="400">
        <v>50</v>
      </c>
      <c r="V479" s="400">
        <v>45</v>
      </c>
    </row>
    <row r="480" spans="17:22" ht="15" customHeight="1" hidden="1">
      <c r="Q480" s="398">
        <v>411</v>
      </c>
      <c r="R480" s="398" t="s">
        <v>254</v>
      </c>
      <c r="S480" s="398" t="s">
        <v>298</v>
      </c>
      <c r="T480" s="399">
        <v>30</v>
      </c>
      <c r="U480" s="400">
        <v>50</v>
      </c>
      <c r="V480" s="400">
        <v>45</v>
      </c>
    </row>
    <row r="481" spans="17:22" ht="15" customHeight="1" hidden="1">
      <c r="Q481" s="398">
        <v>412</v>
      </c>
      <c r="R481" s="398" t="s">
        <v>259</v>
      </c>
      <c r="S481" s="398" t="s">
        <v>298</v>
      </c>
      <c r="T481" s="399">
        <v>40</v>
      </c>
      <c r="U481" s="400">
        <v>50</v>
      </c>
      <c r="V481" s="400">
        <v>45</v>
      </c>
    </row>
    <row r="482" spans="17:22" ht="15" customHeight="1" hidden="1">
      <c r="Q482" s="398">
        <v>413</v>
      </c>
      <c r="R482" s="398" t="s">
        <v>266</v>
      </c>
      <c r="S482" s="398" t="s">
        <v>298</v>
      </c>
      <c r="T482" s="399">
        <v>30</v>
      </c>
      <c r="U482" s="400">
        <v>50</v>
      </c>
      <c r="V482" s="400">
        <v>45</v>
      </c>
    </row>
    <row r="483" spans="17:22" ht="15" customHeight="1" hidden="1">
      <c r="Q483" s="398">
        <v>414</v>
      </c>
      <c r="R483" s="398" t="s">
        <v>260</v>
      </c>
      <c r="S483" s="398" t="s">
        <v>298</v>
      </c>
      <c r="T483" s="399">
        <v>30</v>
      </c>
      <c r="U483" s="400">
        <v>50</v>
      </c>
      <c r="V483" s="400">
        <v>45</v>
      </c>
    </row>
    <row r="484" spans="17:22" ht="15" customHeight="1" hidden="1">
      <c r="Q484" s="398">
        <v>415</v>
      </c>
      <c r="R484" s="398" t="s">
        <v>258</v>
      </c>
      <c r="S484" s="404" t="s">
        <v>307</v>
      </c>
      <c r="T484" s="399">
        <v>40</v>
      </c>
      <c r="U484" s="400">
        <v>40</v>
      </c>
      <c r="V484" s="400">
        <v>30</v>
      </c>
    </row>
    <row r="485" spans="17:22" ht="15" customHeight="1" hidden="1">
      <c r="Q485" s="398">
        <v>416</v>
      </c>
      <c r="R485" s="398" t="s">
        <v>267</v>
      </c>
      <c r="S485" s="404" t="s">
        <v>307</v>
      </c>
      <c r="T485" s="399">
        <v>40</v>
      </c>
      <c r="U485" s="400">
        <v>40</v>
      </c>
      <c r="V485" s="400">
        <v>30</v>
      </c>
    </row>
    <row r="486" spans="17:22" ht="15" customHeight="1" hidden="1">
      <c r="Q486" s="398">
        <v>417</v>
      </c>
      <c r="R486" s="398" t="s">
        <v>271</v>
      </c>
      <c r="S486" s="404" t="s">
        <v>307</v>
      </c>
      <c r="T486" s="399">
        <v>40</v>
      </c>
      <c r="U486" s="400">
        <v>40</v>
      </c>
      <c r="V486" s="400">
        <v>30</v>
      </c>
    </row>
    <row r="487" spans="17:22" ht="15" customHeight="1" hidden="1">
      <c r="Q487" s="398">
        <v>418</v>
      </c>
      <c r="R487" s="398" t="s">
        <v>256</v>
      </c>
      <c r="S487" s="404" t="s">
        <v>307</v>
      </c>
      <c r="T487" s="399">
        <v>40</v>
      </c>
      <c r="U487" s="400">
        <v>40</v>
      </c>
      <c r="V487" s="400">
        <v>30</v>
      </c>
    </row>
    <row r="488" spans="17:22" ht="15" customHeight="1" hidden="1">
      <c r="Q488" s="398">
        <v>419</v>
      </c>
      <c r="R488" s="398" t="s">
        <v>255</v>
      </c>
      <c r="S488" s="404" t="s">
        <v>307</v>
      </c>
      <c r="T488" s="399">
        <v>40</v>
      </c>
      <c r="U488" s="400">
        <v>40</v>
      </c>
      <c r="V488" s="400">
        <v>30</v>
      </c>
    </row>
    <row r="489" spans="17:22" ht="15" customHeight="1" hidden="1">
      <c r="Q489" s="398">
        <v>420</v>
      </c>
      <c r="R489" s="398" t="s">
        <v>265</v>
      </c>
      <c r="S489" s="404" t="s">
        <v>307</v>
      </c>
      <c r="T489" s="399">
        <v>40</v>
      </c>
      <c r="U489" s="400">
        <v>40</v>
      </c>
      <c r="V489" s="400">
        <v>30</v>
      </c>
    </row>
    <row r="490" spans="17:22" ht="15" customHeight="1" hidden="1">
      <c r="Q490" s="398">
        <v>421</v>
      </c>
      <c r="R490" s="398" t="s">
        <v>257</v>
      </c>
      <c r="S490" s="404" t="s">
        <v>307</v>
      </c>
      <c r="T490" s="399">
        <v>40</v>
      </c>
      <c r="U490" s="400">
        <v>40</v>
      </c>
      <c r="V490" s="400">
        <v>30</v>
      </c>
    </row>
    <row r="491" spans="17:22" ht="15" customHeight="1" hidden="1">
      <c r="Q491" s="398">
        <v>422</v>
      </c>
      <c r="R491" s="398" t="s">
        <v>262</v>
      </c>
      <c r="S491" s="404" t="s">
        <v>307</v>
      </c>
      <c r="T491" s="399">
        <v>40</v>
      </c>
      <c r="U491" s="400">
        <v>40</v>
      </c>
      <c r="V491" s="400">
        <v>30</v>
      </c>
    </row>
    <row r="492" spans="17:22" ht="15" customHeight="1" hidden="1">
      <c r="Q492" s="398">
        <v>423</v>
      </c>
      <c r="R492" s="398" t="s">
        <v>270</v>
      </c>
      <c r="S492" s="404" t="s">
        <v>307</v>
      </c>
      <c r="T492" s="399">
        <v>40</v>
      </c>
      <c r="U492" s="400">
        <v>40</v>
      </c>
      <c r="V492" s="400">
        <v>30</v>
      </c>
    </row>
    <row r="493" spans="17:22" ht="15" customHeight="1" hidden="1">
      <c r="Q493" s="398">
        <v>424</v>
      </c>
      <c r="R493" s="398" t="s">
        <v>261</v>
      </c>
      <c r="S493" s="404" t="s">
        <v>307</v>
      </c>
      <c r="T493" s="399">
        <v>40</v>
      </c>
      <c r="U493" s="400">
        <v>40</v>
      </c>
      <c r="V493" s="400">
        <v>30</v>
      </c>
    </row>
    <row r="494" spans="17:22" ht="15" customHeight="1" hidden="1">
      <c r="Q494" s="398">
        <v>425</v>
      </c>
      <c r="R494" s="398" t="s">
        <v>268</v>
      </c>
      <c r="S494" s="404" t="s">
        <v>307</v>
      </c>
      <c r="T494" s="399">
        <v>40</v>
      </c>
      <c r="U494" s="400">
        <v>40</v>
      </c>
      <c r="V494" s="400">
        <v>30</v>
      </c>
    </row>
    <row r="495" spans="17:22" ht="15" customHeight="1" hidden="1">
      <c r="Q495" s="398">
        <v>426</v>
      </c>
      <c r="R495" s="398" t="s">
        <v>269</v>
      </c>
      <c r="S495" s="404" t="s">
        <v>307</v>
      </c>
      <c r="T495" s="399">
        <v>40</v>
      </c>
      <c r="U495" s="400">
        <v>40</v>
      </c>
      <c r="V495" s="400">
        <v>30</v>
      </c>
    </row>
    <row r="496" spans="17:22" ht="15" customHeight="1" hidden="1">
      <c r="Q496" s="398">
        <v>427</v>
      </c>
      <c r="R496" s="398" t="s">
        <v>263</v>
      </c>
      <c r="S496" s="404" t="s">
        <v>307</v>
      </c>
      <c r="T496" s="399">
        <v>40</v>
      </c>
      <c r="U496" s="400">
        <v>40</v>
      </c>
      <c r="V496" s="400">
        <v>30</v>
      </c>
    </row>
    <row r="497" spans="17:22" ht="15" customHeight="1" hidden="1">
      <c r="Q497" s="398">
        <v>428</v>
      </c>
      <c r="R497" s="398" t="s">
        <v>264</v>
      </c>
      <c r="S497" s="404" t="s">
        <v>307</v>
      </c>
      <c r="T497" s="399">
        <v>40</v>
      </c>
      <c r="U497" s="400">
        <v>40</v>
      </c>
      <c r="V497" s="400">
        <v>30</v>
      </c>
    </row>
    <row r="498" spans="17:22" ht="15" customHeight="1" hidden="1">
      <c r="Q498" s="398">
        <v>429</v>
      </c>
      <c r="R498" s="398" t="s">
        <v>254</v>
      </c>
      <c r="S498" s="404" t="s">
        <v>307</v>
      </c>
      <c r="T498" s="399">
        <v>40</v>
      </c>
      <c r="U498" s="400">
        <v>40</v>
      </c>
      <c r="V498" s="400">
        <v>30</v>
      </c>
    </row>
    <row r="499" spans="17:22" ht="15" customHeight="1" hidden="1">
      <c r="Q499" s="398">
        <v>430</v>
      </c>
      <c r="R499" s="398" t="s">
        <v>259</v>
      </c>
      <c r="S499" s="404" t="s">
        <v>307</v>
      </c>
      <c r="T499" s="399">
        <v>40</v>
      </c>
      <c r="U499" s="400">
        <v>40</v>
      </c>
      <c r="V499" s="400">
        <v>30</v>
      </c>
    </row>
    <row r="500" spans="17:22" ht="15" customHeight="1" hidden="1">
      <c r="Q500" s="398">
        <v>431</v>
      </c>
      <c r="R500" s="398" t="s">
        <v>266</v>
      </c>
      <c r="S500" s="404" t="s">
        <v>307</v>
      </c>
      <c r="T500" s="399">
        <v>40</v>
      </c>
      <c r="U500" s="400">
        <v>40</v>
      </c>
      <c r="V500" s="400">
        <v>30</v>
      </c>
    </row>
    <row r="501" spans="17:22" ht="15" customHeight="1" hidden="1">
      <c r="Q501" s="398">
        <v>432</v>
      </c>
      <c r="R501" s="398" t="s">
        <v>260</v>
      </c>
      <c r="S501" s="404" t="s">
        <v>307</v>
      </c>
      <c r="T501" s="399">
        <v>40</v>
      </c>
      <c r="U501" s="400">
        <v>40</v>
      </c>
      <c r="V501" s="400">
        <v>30</v>
      </c>
    </row>
    <row r="502" spans="17:22" ht="15" customHeight="1" hidden="1">
      <c r="Q502" s="398">
        <v>433</v>
      </c>
      <c r="R502" s="398" t="s">
        <v>258</v>
      </c>
      <c r="S502" s="398" t="s">
        <v>299</v>
      </c>
      <c r="T502" s="399">
        <v>10</v>
      </c>
      <c r="U502" s="400">
        <v>45</v>
      </c>
      <c r="V502" s="400">
        <v>40</v>
      </c>
    </row>
    <row r="503" spans="17:22" ht="15" customHeight="1" hidden="1">
      <c r="Q503" s="398">
        <v>434</v>
      </c>
      <c r="R503" s="398" t="s">
        <v>267</v>
      </c>
      <c r="S503" s="398" t="s">
        <v>299</v>
      </c>
      <c r="T503" s="399">
        <v>10</v>
      </c>
      <c r="U503" s="400">
        <v>45</v>
      </c>
      <c r="V503" s="400">
        <v>40</v>
      </c>
    </row>
    <row r="504" spans="17:22" ht="15" customHeight="1" hidden="1">
      <c r="Q504" s="398">
        <v>435</v>
      </c>
      <c r="R504" s="398" t="s">
        <v>271</v>
      </c>
      <c r="S504" s="398" t="s">
        <v>299</v>
      </c>
      <c r="T504" s="399">
        <v>10</v>
      </c>
      <c r="U504" s="400">
        <v>45</v>
      </c>
      <c r="V504" s="400">
        <v>40</v>
      </c>
    </row>
    <row r="505" spans="17:22" ht="15" customHeight="1" hidden="1">
      <c r="Q505" s="398">
        <v>436</v>
      </c>
      <c r="R505" s="398" t="s">
        <v>256</v>
      </c>
      <c r="S505" s="398" t="s">
        <v>299</v>
      </c>
      <c r="T505" s="399">
        <v>10</v>
      </c>
      <c r="U505" s="400">
        <v>45</v>
      </c>
      <c r="V505" s="400">
        <v>40</v>
      </c>
    </row>
    <row r="506" spans="17:22" ht="15" customHeight="1" hidden="1">
      <c r="Q506" s="398">
        <v>437</v>
      </c>
      <c r="R506" s="398" t="s">
        <v>255</v>
      </c>
      <c r="S506" s="398" t="s">
        <v>299</v>
      </c>
      <c r="T506" s="399">
        <v>10</v>
      </c>
      <c r="U506" s="400">
        <v>45</v>
      </c>
      <c r="V506" s="400">
        <v>40</v>
      </c>
    </row>
    <row r="507" spans="17:22" ht="15" customHeight="1" hidden="1">
      <c r="Q507" s="398">
        <v>438</v>
      </c>
      <c r="R507" s="398" t="s">
        <v>265</v>
      </c>
      <c r="S507" s="398" t="s">
        <v>299</v>
      </c>
      <c r="T507" s="399">
        <v>10</v>
      </c>
      <c r="U507" s="400">
        <v>45</v>
      </c>
      <c r="V507" s="400">
        <v>40</v>
      </c>
    </row>
    <row r="508" spans="17:22" ht="15" customHeight="1" hidden="1">
      <c r="Q508" s="398">
        <v>439</v>
      </c>
      <c r="R508" s="398" t="s">
        <v>257</v>
      </c>
      <c r="S508" s="398" t="s">
        <v>299</v>
      </c>
      <c r="T508" s="399">
        <v>10</v>
      </c>
      <c r="U508" s="400">
        <v>45</v>
      </c>
      <c r="V508" s="400">
        <v>40</v>
      </c>
    </row>
    <row r="509" spans="17:22" ht="15" customHeight="1" hidden="1">
      <c r="Q509" s="398">
        <v>440</v>
      </c>
      <c r="R509" s="398" t="s">
        <v>262</v>
      </c>
      <c r="S509" s="398" t="s">
        <v>299</v>
      </c>
      <c r="T509" s="399">
        <v>10</v>
      </c>
      <c r="U509" s="400">
        <v>45</v>
      </c>
      <c r="V509" s="400">
        <v>40</v>
      </c>
    </row>
    <row r="510" spans="17:22" ht="15" customHeight="1" hidden="1">
      <c r="Q510" s="398">
        <v>441</v>
      </c>
      <c r="R510" s="398" t="s">
        <v>270</v>
      </c>
      <c r="S510" s="398" t="s">
        <v>299</v>
      </c>
      <c r="T510" s="399">
        <v>10</v>
      </c>
      <c r="U510" s="400">
        <v>45</v>
      </c>
      <c r="V510" s="400">
        <v>40</v>
      </c>
    </row>
    <row r="511" spans="17:22" ht="15" customHeight="1" hidden="1">
      <c r="Q511" s="398">
        <v>442</v>
      </c>
      <c r="R511" s="398" t="s">
        <v>261</v>
      </c>
      <c r="S511" s="398" t="s">
        <v>299</v>
      </c>
      <c r="T511" s="399">
        <v>10</v>
      </c>
      <c r="U511" s="400">
        <v>45</v>
      </c>
      <c r="V511" s="400">
        <v>40</v>
      </c>
    </row>
    <row r="512" spans="17:22" ht="15" customHeight="1" hidden="1">
      <c r="Q512" s="398">
        <v>443</v>
      </c>
      <c r="R512" s="398" t="s">
        <v>268</v>
      </c>
      <c r="S512" s="398" t="s">
        <v>299</v>
      </c>
      <c r="T512" s="399">
        <v>10</v>
      </c>
      <c r="U512" s="400">
        <v>45</v>
      </c>
      <c r="V512" s="400">
        <v>40</v>
      </c>
    </row>
    <row r="513" spans="17:22" ht="15" customHeight="1" hidden="1">
      <c r="Q513" s="398">
        <v>444</v>
      </c>
      <c r="R513" s="398" t="s">
        <v>269</v>
      </c>
      <c r="S513" s="398" t="s">
        <v>299</v>
      </c>
      <c r="T513" s="399">
        <v>10</v>
      </c>
      <c r="U513" s="400">
        <v>45</v>
      </c>
      <c r="V513" s="400">
        <v>40</v>
      </c>
    </row>
    <row r="514" spans="17:22" ht="15" customHeight="1" hidden="1">
      <c r="Q514" s="398">
        <v>445</v>
      </c>
      <c r="R514" s="398" t="s">
        <v>263</v>
      </c>
      <c r="S514" s="398" t="s">
        <v>299</v>
      </c>
      <c r="T514" s="399">
        <v>10</v>
      </c>
      <c r="U514" s="400">
        <v>45</v>
      </c>
      <c r="V514" s="400">
        <v>40</v>
      </c>
    </row>
    <row r="515" spans="17:22" ht="15" customHeight="1" hidden="1">
      <c r="Q515" s="398">
        <v>446</v>
      </c>
      <c r="R515" s="398" t="s">
        <v>264</v>
      </c>
      <c r="S515" s="398" t="s">
        <v>299</v>
      </c>
      <c r="T515" s="399">
        <v>10</v>
      </c>
      <c r="U515" s="400">
        <v>45</v>
      </c>
      <c r="V515" s="400">
        <v>40</v>
      </c>
    </row>
    <row r="516" spans="17:22" ht="15" customHeight="1" hidden="1">
      <c r="Q516" s="398">
        <v>447</v>
      </c>
      <c r="R516" s="398" t="s">
        <v>254</v>
      </c>
      <c r="S516" s="398" t="s">
        <v>299</v>
      </c>
      <c r="T516" s="399">
        <v>10</v>
      </c>
      <c r="U516" s="400">
        <v>45</v>
      </c>
      <c r="V516" s="400">
        <v>40</v>
      </c>
    </row>
    <row r="517" spans="17:22" ht="15" customHeight="1" hidden="1">
      <c r="Q517" s="398">
        <v>448</v>
      </c>
      <c r="R517" s="398" t="s">
        <v>259</v>
      </c>
      <c r="S517" s="398" t="s">
        <v>299</v>
      </c>
      <c r="T517" s="399">
        <v>20</v>
      </c>
      <c r="U517" s="400">
        <v>45</v>
      </c>
      <c r="V517" s="400">
        <v>40</v>
      </c>
    </row>
    <row r="518" spans="17:22" ht="15" customHeight="1" hidden="1">
      <c r="Q518" s="398">
        <v>449</v>
      </c>
      <c r="R518" s="398" t="s">
        <v>266</v>
      </c>
      <c r="S518" s="398" t="s">
        <v>299</v>
      </c>
      <c r="T518" s="399">
        <v>10</v>
      </c>
      <c r="U518" s="400">
        <v>45</v>
      </c>
      <c r="V518" s="400">
        <v>40</v>
      </c>
    </row>
    <row r="519" spans="17:22" ht="15" customHeight="1" hidden="1">
      <c r="Q519" s="398">
        <v>450</v>
      </c>
      <c r="R519" s="398" t="s">
        <v>260</v>
      </c>
      <c r="S519" s="398" t="s">
        <v>299</v>
      </c>
      <c r="T519" s="399">
        <v>10</v>
      </c>
      <c r="U519" s="400">
        <v>45</v>
      </c>
      <c r="V519" s="400">
        <v>40</v>
      </c>
    </row>
    <row r="520" spans="17:22" ht="15" customHeight="1" hidden="1">
      <c r="Q520" s="398">
        <v>451</v>
      </c>
      <c r="R520" s="398" t="s">
        <v>258</v>
      </c>
      <c r="S520" s="398" t="s">
        <v>300</v>
      </c>
      <c r="T520" s="399">
        <v>10</v>
      </c>
      <c r="U520" s="400">
        <v>20</v>
      </c>
      <c r="V520" s="400">
        <v>30</v>
      </c>
    </row>
    <row r="521" spans="17:22" ht="15" customHeight="1" hidden="1">
      <c r="Q521" s="398">
        <v>452</v>
      </c>
      <c r="R521" s="398" t="s">
        <v>267</v>
      </c>
      <c r="S521" s="398" t="s">
        <v>300</v>
      </c>
      <c r="T521" s="399">
        <v>10</v>
      </c>
      <c r="U521" s="400">
        <v>20</v>
      </c>
      <c r="V521" s="400">
        <v>30</v>
      </c>
    </row>
    <row r="522" spans="17:22" ht="15" customHeight="1" hidden="1">
      <c r="Q522" s="398">
        <v>453</v>
      </c>
      <c r="R522" s="398" t="s">
        <v>271</v>
      </c>
      <c r="S522" s="398" t="s">
        <v>300</v>
      </c>
      <c r="T522" s="399">
        <v>10</v>
      </c>
      <c r="U522" s="400">
        <v>25</v>
      </c>
      <c r="V522" s="400">
        <v>30</v>
      </c>
    </row>
    <row r="523" spans="17:22" ht="15" customHeight="1" hidden="1">
      <c r="Q523" s="398">
        <v>454</v>
      </c>
      <c r="R523" s="398" t="s">
        <v>256</v>
      </c>
      <c r="S523" s="398" t="s">
        <v>300</v>
      </c>
      <c r="T523" s="399">
        <v>10</v>
      </c>
      <c r="U523" s="400">
        <v>25</v>
      </c>
      <c r="V523" s="400">
        <v>30</v>
      </c>
    </row>
    <row r="524" spans="17:22" ht="15" customHeight="1" hidden="1">
      <c r="Q524" s="398">
        <v>455</v>
      </c>
      <c r="R524" s="398" t="s">
        <v>255</v>
      </c>
      <c r="S524" s="398" t="s">
        <v>300</v>
      </c>
      <c r="T524" s="399">
        <v>10</v>
      </c>
      <c r="U524" s="400">
        <v>25</v>
      </c>
      <c r="V524" s="400">
        <v>30</v>
      </c>
    </row>
    <row r="525" spans="17:22" ht="15" customHeight="1" hidden="1">
      <c r="Q525" s="398">
        <v>456</v>
      </c>
      <c r="R525" s="398" t="s">
        <v>265</v>
      </c>
      <c r="S525" s="398" t="s">
        <v>300</v>
      </c>
      <c r="T525" s="399">
        <v>10</v>
      </c>
      <c r="U525" s="400">
        <v>25</v>
      </c>
      <c r="V525" s="400">
        <v>30</v>
      </c>
    </row>
    <row r="526" spans="17:22" ht="15" customHeight="1" hidden="1">
      <c r="Q526" s="398">
        <v>457</v>
      </c>
      <c r="R526" s="398" t="s">
        <v>257</v>
      </c>
      <c r="S526" s="398" t="s">
        <v>300</v>
      </c>
      <c r="T526" s="399">
        <v>10</v>
      </c>
      <c r="U526" s="400">
        <v>25</v>
      </c>
      <c r="V526" s="400">
        <v>30</v>
      </c>
    </row>
    <row r="527" spans="17:22" ht="15" customHeight="1" hidden="1">
      <c r="Q527" s="398">
        <v>458</v>
      </c>
      <c r="R527" s="398" t="s">
        <v>262</v>
      </c>
      <c r="S527" s="398" t="s">
        <v>300</v>
      </c>
      <c r="T527" s="399">
        <v>10</v>
      </c>
      <c r="U527" s="400">
        <v>20</v>
      </c>
      <c r="V527" s="400">
        <v>30</v>
      </c>
    </row>
    <row r="528" spans="17:22" ht="15" customHeight="1" hidden="1">
      <c r="Q528" s="398">
        <v>459</v>
      </c>
      <c r="R528" s="398" t="s">
        <v>270</v>
      </c>
      <c r="S528" s="398" t="s">
        <v>300</v>
      </c>
      <c r="T528" s="399">
        <v>10</v>
      </c>
      <c r="U528" s="400">
        <v>20</v>
      </c>
      <c r="V528" s="400">
        <v>30</v>
      </c>
    </row>
    <row r="529" spans="17:22" ht="15" customHeight="1" hidden="1">
      <c r="Q529" s="398">
        <v>460</v>
      </c>
      <c r="R529" s="398" t="s">
        <v>261</v>
      </c>
      <c r="S529" s="398" t="s">
        <v>300</v>
      </c>
      <c r="T529" s="399">
        <v>10</v>
      </c>
      <c r="U529" s="400">
        <v>20</v>
      </c>
      <c r="V529" s="400">
        <v>30</v>
      </c>
    </row>
    <row r="530" spans="17:22" ht="15" customHeight="1" hidden="1">
      <c r="Q530" s="398">
        <v>461</v>
      </c>
      <c r="R530" s="398" t="s">
        <v>268</v>
      </c>
      <c r="S530" s="398" t="s">
        <v>300</v>
      </c>
      <c r="T530" s="399">
        <v>10</v>
      </c>
      <c r="U530" s="400">
        <v>25</v>
      </c>
      <c r="V530" s="400">
        <v>30</v>
      </c>
    </row>
    <row r="531" spans="17:22" ht="15" customHeight="1" hidden="1">
      <c r="Q531" s="398">
        <v>462</v>
      </c>
      <c r="R531" s="398" t="s">
        <v>269</v>
      </c>
      <c r="S531" s="398" t="s">
        <v>300</v>
      </c>
      <c r="T531" s="399">
        <v>10</v>
      </c>
      <c r="U531" s="400">
        <v>25</v>
      </c>
      <c r="V531" s="400">
        <v>30</v>
      </c>
    </row>
    <row r="532" spans="17:22" ht="15" customHeight="1" hidden="1">
      <c r="Q532" s="398">
        <v>463</v>
      </c>
      <c r="R532" s="398" t="s">
        <v>263</v>
      </c>
      <c r="S532" s="398" t="s">
        <v>300</v>
      </c>
      <c r="T532" s="399">
        <v>10</v>
      </c>
      <c r="U532" s="400">
        <v>25</v>
      </c>
      <c r="V532" s="400">
        <v>30</v>
      </c>
    </row>
    <row r="533" spans="17:22" ht="15" customHeight="1" hidden="1">
      <c r="Q533" s="398">
        <v>464</v>
      </c>
      <c r="R533" s="398" t="s">
        <v>264</v>
      </c>
      <c r="S533" s="398" t="s">
        <v>300</v>
      </c>
      <c r="T533" s="399">
        <v>10</v>
      </c>
      <c r="U533" s="400">
        <v>25</v>
      </c>
      <c r="V533" s="400">
        <v>30</v>
      </c>
    </row>
    <row r="534" spans="17:22" ht="15" customHeight="1" hidden="1">
      <c r="Q534" s="398">
        <v>465</v>
      </c>
      <c r="R534" s="398" t="s">
        <v>254</v>
      </c>
      <c r="S534" s="398" t="s">
        <v>300</v>
      </c>
      <c r="T534" s="399">
        <v>10</v>
      </c>
      <c r="U534" s="400">
        <v>25</v>
      </c>
      <c r="V534" s="400">
        <v>30</v>
      </c>
    </row>
    <row r="535" spans="17:22" ht="15" customHeight="1" hidden="1">
      <c r="Q535" s="398">
        <v>466</v>
      </c>
      <c r="R535" s="398" t="s">
        <v>259</v>
      </c>
      <c r="S535" s="398" t="s">
        <v>300</v>
      </c>
      <c r="T535" s="399">
        <v>10</v>
      </c>
      <c r="U535" s="400">
        <v>25</v>
      </c>
      <c r="V535" s="400">
        <v>30</v>
      </c>
    </row>
    <row r="536" spans="17:22" ht="15" customHeight="1" hidden="1">
      <c r="Q536" s="398">
        <v>467</v>
      </c>
      <c r="R536" s="398" t="s">
        <v>266</v>
      </c>
      <c r="S536" s="398" t="s">
        <v>300</v>
      </c>
      <c r="T536" s="399">
        <v>10</v>
      </c>
      <c r="U536" s="400">
        <v>25</v>
      </c>
      <c r="V536" s="400">
        <v>30</v>
      </c>
    </row>
    <row r="537" spans="17:22" ht="15" customHeight="1" hidden="1">
      <c r="Q537" s="398">
        <v>468</v>
      </c>
      <c r="R537" s="398" t="s">
        <v>260</v>
      </c>
      <c r="S537" s="398" t="s">
        <v>300</v>
      </c>
      <c r="T537" s="399">
        <v>10</v>
      </c>
      <c r="U537" s="400">
        <v>25</v>
      </c>
      <c r="V537" s="400">
        <v>30</v>
      </c>
    </row>
    <row r="538" spans="17:22" ht="15" customHeight="1" hidden="1">
      <c r="Q538" s="398">
        <v>469</v>
      </c>
      <c r="R538" s="398" t="s">
        <v>258</v>
      </c>
      <c r="S538" s="398" t="s">
        <v>301</v>
      </c>
      <c r="T538" s="399">
        <v>10</v>
      </c>
      <c r="U538" s="399">
        <v>10</v>
      </c>
      <c r="V538" s="399">
        <v>10</v>
      </c>
    </row>
    <row r="539" spans="17:22" ht="15" customHeight="1" hidden="1">
      <c r="Q539" s="398">
        <v>470</v>
      </c>
      <c r="R539" s="398" t="s">
        <v>267</v>
      </c>
      <c r="S539" s="398" t="s">
        <v>301</v>
      </c>
      <c r="T539" s="399">
        <v>10</v>
      </c>
      <c r="U539" s="399">
        <v>10</v>
      </c>
      <c r="V539" s="399">
        <v>10</v>
      </c>
    </row>
    <row r="540" spans="17:22" ht="15" customHeight="1" hidden="1">
      <c r="Q540" s="398">
        <v>471</v>
      </c>
      <c r="R540" s="398" t="s">
        <v>271</v>
      </c>
      <c r="S540" s="398" t="s">
        <v>301</v>
      </c>
      <c r="T540" s="399">
        <v>10</v>
      </c>
      <c r="U540" s="399">
        <v>10</v>
      </c>
      <c r="V540" s="399">
        <v>10</v>
      </c>
    </row>
    <row r="541" spans="17:22" ht="15" customHeight="1" hidden="1">
      <c r="Q541" s="398">
        <v>472</v>
      </c>
      <c r="R541" s="398" t="s">
        <v>256</v>
      </c>
      <c r="S541" s="398" t="s">
        <v>301</v>
      </c>
      <c r="T541" s="399">
        <v>10</v>
      </c>
      <c r="U541" s="399">
        <v>10</v>
      </c>
      <c r="V541" s="399">
        <v>10</v>
      </c>
    </row>
    <row r="542" spans="17:22" ht="15" customHeight="1" hidden="1">
      <c r="Q542" s="398">
        <v>473</v>
      </c>
      <c r="R542" s="398" t="s">
        <v>255</v>
      </c>
      <c r="S542" s="398" t="s">
        <v>301</v>
      </c>
      <c r="T542" s="399">
        <v>10</v>
      </c>
      <c r="U542" s="399">
        <v>10</v>
      </c>
      <c r="V542" s="399">
        <v>10</v>
      </c>
    </row>
    <row r="543" spans="17:22" ht="15" customHeight="1" hidden="1">
      <c r="Q543" s="398">
        <v>474</v>
      </c>
      <c r="R543" s="398" t="s">
        <v>265</v>
      </c>
      <c r="S543" s="398" t="s">
        <v>301</v>
      </c>
      <c r="T543" s="399">
        <v>10</v>
      </c>
      <c r="U543" s="399">
        <v>10</v>
      </c>
      <c r="V543" s="399">
        <v>10</v>
      </c>
    </row>
    <row r="544" spans="17:22" ht="15" customHeight="1" hidden="1">
      <c r="Q544" s="398">
        <v>475</v>
      </c>
      <c r="R544" s="398" t="s">
        <v>257</v>
      </c>
      <c r="S544" s="398" t="s">
        <v>301</v>
      </c>
      <c r="T544" s="399">
        <v>10</v>
      </c>
      <c r="U544" s="399">
        <v>10</v>
      </c>
      <c r="V544" s="399">
        <v>10</v>
      </c>
    </row>
    <row r="545" spans="17:22" ht="15" customHeight="1" hidden="1">
      <c r="Q545" s="398">
        <v>476</v>
      </c>
      <c r="R545" s="398" t="s">
        <v>262</v>
      </c>
      <c r="S545" s="398" t="s">
        <v>301</v>
      </c>
      <c r="T545" s="399">
        <v>10</v>
      </c>
      <c r="U545" s="399">
        <v>10</v>
      </c>
      <c r="V545" s="399">
        <v>10</v>
      </c>
    </row>
    <row r="546" spans="17:22" ht="15" customHeight="1" hidden="1">
      <c r="Q546" s="398">
        <v>477</v>
      </c>
      <c r="R546" s="398" t="s">
        <v>270</v>
      </c>
      <c r="S546" s="398" t="s">
        <v>301</v>
      </c>
      <c r="T546" s="399">
        <v>10</v>
      </c>
      <c r="U546" s="399">
        <v>10</v>
      </c>
      <c r="V546" s="399">
        <v>10</v>
      </c>
    </row>
    <row r="547" spans="17:22" ht="15" customHeight="1" hidden="1">
      <c r="Q547" s="398">
        <v>478</v>
      </c>
      <c r="R547" s="398" t="s">
        <v>261</v>
      </c>
      <c r="S547" s="398" t="s">
        <v>301</v>
      </c>
      <c r="T547" s="399">
        <v>10</v>
      </c>
      <c r="U547" s="399">
        <v>10</v>
      </c>
      <c r="V547" s="399">
        <v>10</v>
      </c>
    </row>
    <row r="548" spans="17:22" ht="15" customHeight="1" hidden="1">
      <c r="Q548" s="398">
        <v>479</v>
      </c>
      <c r="R548" s="398" t="s">
        <v>268</v>
      </c>
      <c r="S548" s="398" t="s">
        <v>301</v>
      </c>
      <c r="T548" s="399">
        <v>10</v>
      </c>
      <c r="U548" s="399">
        <v>10</v>
      </c>
      <c r="V548" s="399">
        <v>10</v>
      </c>
    </row>
    <row r="549" spans="17:22" ht="15" customHeight="1" hidden="1">
      <c r="Q549" s="398">
        <v>480</v>
      </c>
      <c r="R549" s="398" t="s">
        <v>269</v>
      </c>
      <c r="S549" s="398" t="s">
        <v>301</v>
      </c>
      <c r="T549" s="399">
        <v>10</v>
      </c>
      <c r="U549" s="399">
        <v>10</v>
      </c>
      <c r="V549" s="399">
        <v>10</v>
      </c>
    </row>
    <row r="550" spans="17:22" ht="15" customHeight="1" hidden="1">
      <c r="Q550" s="398">
        <v>481</v>
      </c>
      <c r="R550" s="398" t="s">
        <v>263</v>
      </c>
      <c r="S550" s="398" t="s">
        <v>301</v>
      </c>
      <c r="T550" s="399">
        <v>10</v>
      </c>
      <c r="U550" s="399">
        <v>10</v>
      </c>
      <c r="V550" s="399">
        <v>10</v>
      </c>
    </row>
    <row r="551" spans="17:22" ht="15" customHeight="1" hidden="1">
      <c r="Q551" s="398">
        <v>482</v>
      </c>
      <c r="R551" s="398" t="s">
        <v>264</v>
      </c>
      <c r="S551" s="398" t="s">
        <v>301</v>
      </c>
      <c r="T551" s="399">
        <v>10</v>
      </c>
      <c r="U551" s="399">
        <v>10</v>
      </c>
      <c r="V551" s="399">
        <v>10</v>
      </c>
    </row>
    <row r="552" spans="17:22" ht="15" customHeight="1" hidden="1">
      <c r="Q552" s="398">
        <v>483</v>
      </c>
      <c r="R552" s="398" t="s">
        <v>254</v>
      </c>
      <c r="S552" s="398" t="s">
        <v>301</v>
      </c>
      <c r="T552" s="399">
        <v>10</v>
      </c>
      <c r="U552" s="399">
        <v>10</v>
      </c>
      <c r="V552" s="399">
        <v>10</v>
      </c>
    </row>
    <row r="553" spans="17:22" ht="15" customHeight="1" hidden="1">
      <c r="Q553" s="398">
        <v>484</v>
      </c>
      <c r="R553" s="398" t="s">
        <v>259</v>
      </c>
      <c r="S553" s="398" t="s">
        <v>301</v>
      </c>
      <c r="T553" s="399">
        <v>10</v>
      </c>
      <c r="U553" s="399">
        <v>10</v>
      </c>
      <c r="V553" s="399">
        <v>10</v>
      </c>
    </row>
    <row r="554" spans="17:22" ht="15" customHeight="1" hidden="1">
      <c r="Q554" s="398">
        <v>485</v>
      </c>
      <c r="R554" s="398" t="s">
        <v>266</v>
      </c>
      <c r="S554" s="398" t="s">
        <v>301</v>
      </c>
      <c r="T554" s="399">
        <v>10</v>
      </c>
      <c r="U554" s="399">
        <v>10</v>
      </c>
      <c r="V554" s="399">
        <v>10</v>
      </c>
    </row>
    <row r="555" spans="17:22" ht="15" customHeight="1" hidden="1">
      <c r="Q555" s="398">
        <v>486</v>
      </c>
      <c r="R555" s="398" t="s">
        <v>260</v>
      </c>
      <c r="S555" s="398" t="s">
        <v>301</v>
      </c>
      <c r="T555" s="399">
        <v>10</v>
      </c>
      <c r="U555" s="399">
        <v>10</v>
      </c>
      <c r="V555" s="399">
        <v>10</v>
      </c>
    </row>
    <row r="556" spans="17:22" ht="15" customHeight="1" hidden="1">
      <c r="Q556" s="398">
        <v>487</v>
      </c>
      <c r="R556" s="398" t="s">
        <v>258</v>
      </c>
      <c r="S556" s="405" t="s">
        <v>302</v>
      </c>
      <c r="T556" s="399">
        <v>10</v>
      </c>
      <c r="U556" s="399">
        <v>10</v>
      </c>
      <c r="V556" s="399">
        <v>10</v>
      </c>
    </row>
    <row r="557" spans="17:22" ht="15" customHeight="1" hidden="1">
      <c r="Q557" s="398">
        <v>488</v>
      </c>
      <c r="R557" s="398" t="s">
        <v>267</v>
      </c>
      <c r="S557" s="405" t="s">
        <v>302</v>
      </c>
      <c r="T557" s="399">
        <v>10</v>
      </c>
      <c r="U557" s="399">
        <v>10</v>
      </c>
      <c r="V557" s="399">
        <v>10</v>
      </c>
    </row>
    <row r="558" spans="17:22" ht="15" customHeight="1" hidden="1">
      <c r="Q558" s="398">
        <v>489</v>
      </c>
      <c r="R558" s="398" t="s">
        <v>271</v>
      </c>
      <c r="S558" s="405" t="s">
        <v>302</v>
      </c>
      <c r="T558" s="399">
        <v>10</v>
      </c>
      <c r="U558" s="399">
        <v>10</v>
      </c>
      <c r="V558" s="399">
        <v>10</v>
      </c>
    </row>
    <row r="559" spans="17:22" ht="15" customHeight="1" hidden="1">
      <c r="Q559" s="398">
        <v>490</v>
      </c>
      <c r="R559" s="398" t="s">
        <v>256</v>
      </c>
      <c r="S559" s="405" t="s">
        <v>302</v>
      </c>
      <c r="T559" s="399">
        <v>10</v>
      </c>
      <c r="U559" s="399">
        <v>10</v>
      </c>
      <c r="V559" s="399">
        <v>10</v>
      </c>
    </row>
    <row r="560" spans="17:22" ht="15" customHeight="1" hidden="1">
      <c r="Q560" s="398">
        <v>491</v>
      </c>
      <c r="R560" s="398" t="s">
        <v>255</v>
      </c>
      <c r="S560" s="405" t="s">
        <v>302</v>
      </c>
      <c r="T560" s="399">
        <v>10</v>
      </c>
      <c r="U560" s="399">
        <v>10</v>
      </c>
      <c r="V560" s="399">
        <v>10</v>
      </c>
    </row>
    <row r="561" spans="17:22" ht="15" customHeight="1" hidden="1">
      <c r="Q561" s="398">
        <v>492</v>
      </c>
      <c r="R561" s="398" t="s">
        <v>265</v>
      </c>
      <c r="S561" s="405" t="s">
        <v>302</v>
      </c>
      <c r="T561" s="399">
        <v>10</v>
      </c>
      <c r="U561" s="399">
        <v>10</v>
      </c>
      <c r="V561" s="399">
        <v>10</v>
      </c>
    </row>
    <row r="562" spans="17:22" ht="15" customHeight="1" hidden="1">
      <c r="Q562" s="398">
        <v>493</v>
      </c>
      <c r="R562" s="398" t="s">
        <v>257</v>
      </c>
      <c r="S562" s="405" t="s">
        <v>302</v>
      </c>
      <c r="T562" s="399">
        <v>10</v>
      </c>
      <c r="U562" s="399">
        <v>10</v>
      </c>
      <c r="V562" s="399">
        <v>10</v>
      </c>
    </row>
    <row r="563" spans="17:22" ht="15" customHeight="1" hidden="1">
      <c r="Q563" s="398">
        <v>494</v>
      </c>
      <c r="R563" s="398" t="s">
        <v>262</v>
      </c>
      <c r="S563" s="405" t="s">
        <v>302</v>
      </c>
      <c r="T563" s="399">
        <v>10</v>
      </c>
      <c r="U563" s="399">
        <v>10</v>
      </c>
      <c r="V563" s="399">
        <v>10</v>
      </c>
    </row>
    <row r="564" spans="17:22" ht="15" customHeight="1" hidden="1">
      <c r="Q564" s="398">
        <v>495</v>
      </c>
      <c r="R564" s="398" t="s">
        <v>270</v>
      </c>
      <c r="S564" s="405" t="s">
        <v>302</v>
      </c>
      <c r="T564" s="399">
        <v>10</v>
      </c>
      <c r="U564" s="399">
        <v>10</v>
      </c>
      <c r="V564" s="399">
        <v>10</v>
      </c>
    </row>
    <row r="565" spans="17:22" ht="15" customHeight="1" hidden="1">
      <c r="Q565" s="398">
        <v>496</v>
      </c>
      <c r="R565" s="398" t="s">
        <v>261</v>
      </c>
      <c r="S565" s="405" t="s">
        <v>302</v>
      </c>
      <c r="T565" s="399">
        <v>10</v>
      </c>
      <c r="U565" s="399">
        <v>10</v>
      </c>
      <c r="V565" s="399">
        <v>10</v>
      </c>
    </row>
    <row r="566" spans="17:22" ht="15" customHeight="1" hidden="1">
      <c r="Q566" s="398">
        <v>497</v>
      </c>
      <c r="R566" s="398" t="s">
        <v>268</v>
      </c>
      <c r="S566" s="405" t="s">
        <v>302</v>
      </c>
      <c r="T566" s="399">
        <v>10</v>
      </c>
      <c r="U566" s="399">
        <v>10</v>
      </c>
      <c r="V566" s="399">
        <v>10</v>
      </c>
    </row>
    <row r="567" spans="17:22" ht="15" customHeight="1" hidden="1">
      <c r="Q567" s="398">
        <v>498</v>
      </c>
      <c r="R567" s="398" t="s">
        <v>269</v>
      </c>
      <c r="S567" s="405" t="s">
        <v>302</v>
      </c>
      <c r="T567" s="399">
        <v>10</v>
      </c>
      <c r="U567" s="399">
        <v>10</v>
      </c>
      <c r="V567" s="399">
        <v>10</v>
      </c>
    </row>
    <row r="568" spans="17:22" ht="15" customHeight="1" hidden="1">
      <c r="Q568" s="398">
        <v>499</v>
      </c>
      <c r="R568" s="398" t="s">
        <v>263</v>
      </c>
      <c r="S568" s="405" t="s">
        <v>302</v>
      </c>
      <c r="T568" s="399">
        <v>10</v>
      </c>
      <c r="U568" s="399">
        <v>10</v>
      </c>
      <c r="V568" s="399">
        <v>10</v>
      </c>
    </row>
    <row r="569" spans="17:22" ht="15" customHeight="1" hidden="1">
      <c r="Q569" s="398">
        <v>500</v>
      </c>
      <c r="R569" s="398" t="s">
        <v>264</v>
      </c>
      <c r="S569" s="405" t="s">
        <v>302</v>
      </c>
      <c r="T569" s="399">
        <v>10</v>
      </c>
      <c r="U569" s="399">
        <v>10</v>
      </c>
      <c r="V569" s="399">
        <v>10</v>
      </c>
    </row>
    <row r="570" spans="17:22" ht="15" customHeight="1" hidden="1">
      <c r="Q570" s="398">
        <v>501</v>
      </c>
      <c r="R570" s="398" t="s">
        <v>254</v>
      </c>
      <c r="S570" s="405" t="s">
        <v>302</v>
      </c>
      <c r="T570" s="399">
        <v>10</v>
      </c>
      <c r="U570" s="399">
        <v>10</v>
      </c>
      <c r="V570" s="399">
        <v>10</v>
      </c>
    </row>
    <row r="571" spans="17:22" ht="15" customHeight="1" hidden="1">
      <c r="Q571" s="398">
        <v>502</v>
      </c>
      <c r="R571" s="398" t="s">
        <v>259</v>
      </c>
      <c r="S571" s="405" t="s">
        <v>302</v>
      </c>
      <c r="T571" s="399">
        <v>10</v>
      </c>
      <c r="U571" s="399">
        <v>10</v>
      </c>
      <c r="V571" s="399">
        <v>10</v>
      </c>
    </row>
    <row r="572" spans="17:22" ht="15" customHeight="1" hidden="1">
      <c r="Q572" s="398">
        <v>503</v>
      </c>
      <c r="R572" s="398" t="s">
        <v>266</v>
      </c>
      <c r="S572" s="405" t="s">
        <v>302</v>
      </c>
      <c r="T572" s="399">
        <v>10</v>
      </c>
      <c r="U572" s="399">
        <v>10</v>
      </c>
      <c r="V572" s="399">
        <v>10</v>
      </c>
    </row>
    <row r="573" spans="17:22" ht="15" customHeight="1" hidden="1">
      <c r="Q573" s="398">
        <v>504</v>
      </c>
      <c r="R573" s="398" t="s">
        <v>260</v>
      </c>
      <c r="S573" s="405" t="s">
        <v>302</v>
      </c>
      <c r="T573" s="399">
        <v>10</v>
      </c>
      <c r="U573" s="399">
        <v>10</v>
      </c>
      <c r="V573" s="399">
        <v>10</v>
      </c>
    </row>
    <row r="574" spans="17:22" ht="15" customHeight="1" hidden="1">
      <c r="Q574" s="398">
        <v>505</v>
      </c>
      <c r="R574" s="398" t="s">
        <v>258</v>
      </c>
      <c r="S574" s="398" t="s">
        <v>303</v>
      </c>
      <c r="T574" s="399">
        <v>30</v>
      </c>
      <c r="U574" s="400">
        <v>40</v>
      </c>
      <c r="V574" s="400">
        <v>40</v>
      </c>
    </row>
    <row r="575" spans="17:22" ht="15" customHeight="1" hidden="1">
      <c r="Q575" s="398">
        <v>506</v>
      </c>
      <c r="R575" s="398" t="s">
        <v>267</v>
      </c>
      <c r="S575" s="398" t="s">
        <v>303</v>
      </c>
      <c r="T575" s="399">
        <v>30</v>
      </c>
      <c r="U575" s="400">
        <v>40</v>
      </c>
      <c r="V575" s="400">
        <v>40</v>
      </c>
    </row>
    <row r="576" spans="17:22" ht="15" customHeight="1" hidden="1">
      <c r="Q576" s="398">
        <v>507</v>
      </c>
      <c r="R576" s="398" t="s">
        <v>271</v>
      </c>
      <c r="S576" s="398" t="s">
        <v>303</v>
      </c>
      <c r="T576" s="399">
        <v>30</v>
      </c>
      <c r="U576" s="400">
        <v>40</v>
      </c>
      <c r="V576" s="400">
        <v>40</v>
      </c>
    </row>
    <row r="577" spans="17:22" ht="15" customHeight="1" hidden="1">
      <c r="Q577" s="398">
        <v>508</v>
      </c>
      <c r="R577" s="398" t="s">
        <v>256</v>
      </c>
      <c r="S577" s="398" t="s">
        <v>303</v>
      </c>
      <c r="T577" s="399">
        <v>30</v>
      </c>
      <c r="U577" s="400">
        <v>40</v>
      </c>
      <c r="V577" s="400">
        <v>40</v>
      </c>
    </row>
    <row r="578" spans="17:22" ht="15" customHeight="1" hidden="1">
      <c r="Q578" s="398">
        <v>509</v>
      </c>
      <c r="R578" s="398" t="s">
        <v>255</v>
      </c>
      <c r="S578" s="398" t="s">
        <v>303</v>
      </c>
      <c r="T578" s="399">
        <v>30</v>
      </c>
      <c r="U578" s="400">
        <v>40</v>
      </c>
      <c r="V578" s="400">
        <v>40</v>
      </c>
    </row>
    <row r="579" spans="17:22" ht="15" customHeight="1" hidden="1">
      <c r="Q579" s="398">
        <v>510</v>
      </c>
      <c r="R579" s="398" t="s">
        <v>265</v>
      </c>
      <c r="S579" s="398" t="s">
        <v>303</v>
      </c>
      <c r="T579" s="399">
        <v>30</v>
      </c>
      <c r="U579" s="400">
        <v>40</v>
      </c>
      <c r="V579" s="400">
        <v>40</v>
      </c>
    </row>
    <row r="580" spans="17:22" ht="15" customHeight="1" hidden="1">
      <c r="Q580" s="398">
        <v>511</v>
      </c>
      <c r="R580" s="398" t="s">
        <v>257</v>
      </c>
      <c r="S580" s="398" t="s">
        <v>303</v>
      </c>
      <c r="T580" s="399">
        <v>30</v>
      </c>
      <c r="U580" s="400">
        <v>40</v>
      </c>
      <c r="V580" s="400">
        <v>40</v>
      </c>
    </row>
    <row r="581" spans="17:22" ht="15" customHeight="1" hidden="1">
      <c r="Q581" s="398">
        <v>512</v>
      </c>
      <c r="R581" s="398" t="s">
        <v>262</v>
      </c>
      <c r="S581" s="398" t="s">
        <v>303</v>
      </c>
      <c r="T581" s="399">
        <v>30</v>
      </c>
      <c r="U581" s="400">
        <v>40</v>
      </c>
      <c r="V581" s="400">
        <v>40</v>
      </c>
    </row>
    <row r="582" spans="17:22" ht="15" customHeight="1" hidden="1">
      <c r="Q582" s="398">
        <v>513</v>
      </c>
      <c r="R582" s="398" t="s">
        <v>270</v>
      </c>
      <c r="S582" s="398" t="s">
        <v>303</v>
      </c>
      <c r="T582" s="399">
        <v>30</v>
      </c>
      <c r="U582" s="400">
        <v>40</v>
      </c>
      <c r="V582" s="400">
        <v>40</v>
      </c>
    </row>
    <row r="583" spans="17:22" ht="15" customHeight="1" hidden="1">
      <c r="Q583" s="398">
        <v>514</v>
      </c>
      <c r="R583" s="398" t="s">
        <v>261</v>
      </c>
      <c r="S583" s="398" t="s">
        <v>303</v>
      </c>
      <c r="T583" s="399">
        <v>30</v>
      </c>
      <c r="U583" s="400">
        <v>40</v>
      </c>
      <c r="V583" s="400">
        <v>40</v>
      </c>
    </row>
    <row r="584" spans="17:22" ht="15" customHeight="1" hidden="1">
      <c r="Q584" s="398">
        <v>515</v>
      </c>
      <c r="R584" s="398" t="s">
        <v>268</v>
      </c>
      <c r="S584" s="398" t="s">
        <v>303</v>
      </c>
      <c r="T584" s="399">
        <v>30</v>
      </c>
      <c r="U584" s="400">
        <v>40</v>
      </c>
      <c r="V584" s="400">
        <v>40</v>
      </c>
    </row>
    <row r="585" spans="17:22" ht="15" customHeight="1" hidden="1">
      <c r="Q585" s="398">
        <v>516</v>
      </c>
      <c r="R585" s="398" t="s">
        <v>269</v>
      </c>
      <c r="S585" s="398" t="s">
        <v>303</v>
      </c>
      <c r="T585" s="399">
        <v>30</v>
      </c>
      <c r="U585" s="400">
        <v>40</v>
      </c>
      <c r="V585" s="400">
        <v>40</v>
      </c>
    </row>
    <row r="586" spans="17:22" ht="15" customHeight="1" hidden="1">
      <c r="Q586" s="398">
        <v>517</v>
      </c>
      <c r="R586" s="398" t="s">
        <v>263</v>
      </c>
      <c r="S586" s="398" t="s">
        <v>303</v>
      </c>
      <c r="T586" s="399">
        <v>30</v>
      </c>
      <c r="U586" s="400">
        <v>40</v>
      </c>
      <c r="V586" s="400">
        <v>40</v>
      </c>
    </row>
    <row r="587" spans="17:22" ht="15" customHeight="1" hidden="1">
      <c r="Q587" s="398">
        <v>518</v>
      </c>
      <c r="R587" s="398" t="s">
        <v>264</v>
      </c>
      <c r="S587" s="398" t="s">
        <v>303</v>
      </c>
      <c r="T587" s="399">
        <v>30</v>
      </c>
      <c r="U587" s="400">
        <v>40</v>
      </c>
      <c r="V587" s="400">
        <v>40</v>
      </c>
    </row>
    <row r="588" spans="17:22" ht="15" customHeight="1" hidden="1">
      <c r="Q588" s="398">
        <v>519</v>
      </c>
      <c r="R588" s="398" t="s">
        <v>254</v>
      </c>
      <c r="S588" s="398" t="s">
        <v>303</v>
      </c>
      <c r="T588" s="399">
        <v>30</v>
      </c>
      <c r="U588" s="400">
        <v>40</v>
      </c>
      <c r="V588" s="400">
        <v>40</v>
      </c>
    </row>
    <row r="589" spans="17:22" ht="15" customHeight="1" hidden="1">
      <c r="Q589" s="398">
        <v>520</v>
      </c>
      <c r="R589" s="398" t="s">
        <v>259</v>
      </c>
      <c r="S589" s="398" t="s">
        <v>303</v>
      </c>
      <c r="T589" s="399">
        <v>30</v>
      </c>
      <c r="U589" s="400">
        <v>40</v>
      </c>
      <c r="V589" s="400">
        <v>40</v>
      </c>
    </row>
    <row r="590" spans="17:22" ht="15" customHeight="1" hidden="1">
      <c r="Q590" s="398">
        <v>521</v>
      </c>
      <c r="R590" s="398" t="s">
        <v>266</v>
      </c>
      <c r="S590" s="398" t="s">
        <v>303</v>
      </c>
      <c r="T590" s="399">
        <v>30</v>
      </c>
      <c r="U590" s="400">
        <v>40</v>
      </c>
      <c r="V590" s="400">
        <v>40</v>
      </c>
    </row>
    <row r="591" spans="17:22" ht="15" customHeight="1" hidden="1">
      <c r="Q591" s="398">
        <v>522</v>
      </c>
      <c r="R591" s="398" t="s">
        <v>260</v>
      </c>
      <c r="S591" s="398" t="s">
        <v>303</v>
      </c>
      <c r="T591" s="399">
        <v>30</v>
      </c>
      <c r="U591" s="400">
        <v>40</v>
      </c>
      <c r="V591" s="400">
        <v>40</v>
      </c>
    </row>
  </sheetData>
  <sheetProtection password="CE28" sheet="1" selectLockedCells="1"/>
  <mergeCells count="105">
    <mergeCell ref="M41:N41"/>
    <mergeCell ref="M33:N33"/>
    <mergeCell ref="M34:N34"/>
    <mergeCell ref="M35:N35"/>
    <mergeCell ref="M37:N37"/>
    <mergeCell ref="M38:N38"/>
    <mergeCell ref="M39:N39"/>
    <mergeCell ref="M40:N40"/>
    <mergeCell ref="M36:N36"/>
    <mergeCell ref="M29:N29"/>
    <mergeCell ref="M30:N30"/>
    <mergeCell ref="M31:N31"/>
    <mergeCell ref="M32:N32"/>
    <mergeCell ref="F11:F12"/>
    <mergeCell ref="H32:I32"/>
    <mergeCell ref="D30:F30"/>
    <mergeCell ref="H30:I30"/>
    <mergeCell ref="O18:O20"/>
    <mergeCell ref="M15:N15"/>
    <mergeCell ref="D3:I3"/>
    <mergeCell ref="D5:I5"/>
    <mergeCell ref="D9:I9"/>
    <mergeCell ref="D13:I13"/>
    <mergeCell ref="D17:I17"/>
    <mergeCell ref="J3:J19"/>
    <mergeCell ref="M8:O8"/>
    <mergeCell ref="D11:D12"/>
    <mergeCell ref="D36:F36"/>
    <mergeCell ref="H36:I36"/>
    <mergeCell ref="D34:F34"/>
    <mergeCell ref="D45:G45"/>
    <mergeCell ref="D33:F33"/>
    <mergeCell ref="D35:F35"/>
    <mergeCell ref="H35:I35"/>
    <mergeCell ref="H33:I33"/>
    <mergeCell ref="D37:F37"/>
    <mergeCell ref="D38:F38"/>
    <mergeCell ref="D41:G41"/>
    <mergeCell ref="D51:G51"/>
    <mergeCell ref="D52:G52"/>
    <mergeCell ref="D49:G49"/>
    <mergeCell ref="D42:G42"/>
    <mergeCell ref="D39:I39"/>
    <mergeCell ref="D40:G40"/>
    <mergeCell ref="D48:G48"/>
    <mergeCell ref="D47:G47"/>
    <mergeCell ref="D62:G62"/>
    <mergeCell ref="D56:G56"/>
    <mergeCell ref="D61:G61"/>
    <mergeCell ref="D59:G59"/>
    <mergeCell ref="D53:F53"/>
    <mergeCell ref="D54:G54"/>
    <mergeCell ref="D60:G60"/>
    <mergeCell ref="D50:G50"/>
    <mergeCell ref="D57:G57"/>
    <mergeCell ref="B25:K25"/>
    <mergeCell ref="B66:J66"/>
    <mergeCell ref="D58:G58"/>
    <mergeCell ref="B65:J65"/>
    <mergeCell ref="D63:F63"/>
    <mergeCell ref="H38:I38"/>
    <mergeCell ref="D43:G43"/>
    <mergeCell ref="D44:G44"/>
    <mergeCell ref="D46:G46"/>
    <mergeCell ref="D55:G55"/>
    <mergeCell ref="G14:H14"/>
    <mergeCell ref="H37:I37"/>
    <mergeCell ref="H34:I34"/>
    <mergeCell ref="D31:F31"/>
    <mergeCell ref="H31:I31"/>
    <mergeCell ref="D32:F32"/>
    <mergeCell ref="G15:H16"/>
    <mergeCell ref="D29:F29"/>
    <mergeCell ref="H29:I29"/>
    <mergeCell ref="B20:J20"/>
    <mergeCell ref="G2:H2"/>
    <mergeCell ref="I2:K2"/>
    <mergeCell ref="E4:F4"/>
    <mergeCell ref="G4:H4"/>
    <mergeCell ref="G6:H6"/>
    <mergeCell ref="D28:F28"/>
    <mergeCell ref="H28:I28"/>
    <mergeCell ref="E7:E8"/>
    <mergeCell ref="F7:F8"/>
    <mergeCell ref="G7:H8"/>
    <mergeCell ref="M2:O2"/>
    <mergeCell ref="C3:C19"/>
    <mergeCell ref="I7:I8"/>
    <mergeCell ref="D7:D8"/>
    <mergeCell ref="M26:O26"/>
    <mergeCell ref="I11:I12"/>
    <mergeCell ref="C26:K26"/>
    <mergeCell ref="E15:E16"/>
    <mergeCell ref="G18:H18"/>
    <mergeCell ref="C2:F2"/>
    <mergeCell ref="M28:N28"/>
    <mergeCell ref="F15:F16"/>
    <mergeCell ref="B24:K24"/>
    <mergeCell ref="G10:H10"/>
    <mergeCell ref="M17:O17"/>
    <mergeCell ref="E11:E12"/>
    <mergeCell ref="I15:I16"/>
    <mergeCell ref="B23:K23"/>
    <mergeCell ref="D15:D16"/>
    <mergeCell ref="G11:H12"/>
  </mergeCells>
  <dataValidations count="30">
    <dataValidation type="whole" allowBlank="1" showErrorMessage="1" promptTitle="CNG / LPG Kit Value" prompt="&#10;# If Liability only Policy is taken for, Coverage for Loss/Damage to Kit is not Available&#10;&#10;# If Package Policy is taken, Cost of such Kit shall also be covered on paying stipulated Premium alongwith Legal Laibility Premium @ Rs.60/-" sqref="I11">
      <formula1>0</formula1>
      <formula2>IF(G11="Yes",MAX(D8*10%),0)</formula2>
    </dataValidation>
    <dataValidation type="decimal" allowBlank="1" showInputMessage="1" showErrorMessage="1" errorTitle="NDP Maximum Discount" error="Please Reduce the NDP Discount ..." sqref="N6">
      <formula1>0</formula1>
      <formula2>AF11</formula2>
    </dataValidation>
    <dataValidation type="decimal" allowBlank="1" showInputMessage="1" showErrorMessage="1" errorTitle="RTI Maximum Discount" error="Please Reduce the RTI Discount ..." sqref="O6">
      <formula1>0</formula1>
      <formula2>I15</formula2>
    </dataValidation>
    <dataValidation type="list" operator="equal" showErrorMessage="1" promptTitle="Nill Depreciation Policy Cover" prompt="&#10;# No Depr Deducted, Except a Std Pol Excess for Each/Every Claim&#10;&#10;# IMT-23 is Comp for &gt; 6&#10;&#10;# Cover Avb: Taxies &lt; 6 Pass &lt; 5 Yrs, PCCVs &gt; 6 Pass &lt; 10 Yrs, Subj to a satisfactory Veh Insp&#10;&#10;# NDP Not Avb for 3 Wh&#10;&#10;# 5% Disc, if renewed with same U/w Unit" sqref="O4">
      <formula1>RTIPVT</formula1>
    </dataValidation>
    <dataValidation type="list" allowBlank="1" showInputMessage="1" showErrorMessage="1" sqref="N20">
      <formula1>"New Vehicle,1 to 2 Years,2nd Yr Onwards"</formula1>
    </dataValidation>
    <dataValidation type="list" allowBlank="1" showInputMessage="1" showErrorMessage="1" sqref="N18">
      <formula1>$N$69:$N$99</formula1>
    </dataValidation>
    <dataValidation type="list" allowBlank="1" showInputMessage="1" showErrorMessage="1" sqref="N19">
      <formula1>$X$70:$X$97</formula1>
    </dataValidation>
    <dataValidation type="list" operator="equal" showErrorMessage="1" promptTitle="Nill Depreciation Policy Cover" prompt="&#10;# No Depr Deducted, Except a Std Pol Excess for Each/Every Claim&#10;&#10;# IMT-23 is Comp for &gt; 6&#10;&#10;# Cover Avb: Taxies &lt; 6 Pass &lt; 5 Yrs, PCCVs &gt; 6 Pass &lt; 10 Yrs, Subj to a satisfactory Veh Insp&#10;&#10;# NDP Not Avb for 3 Wh&#10;&#10;# 5% Disc, if renewed with same U/w Unit" sqref="N4">
      <formula1>NDP</formula1>
    </dataValidation>
    <dataValidation type="list" operator="equal" showErrorMessage="1" promptTitle="Nill Depreciation Policy Cover" prompt="&#10;# No Depr Deducted, Except a Std Pol Excess for Each/Every Claim&#10;&#10;# IMT-23 is Comp for &gt; 6&#10;&#10;# Cover Avb: Taxies &lt; 6 Pass &lt; 5 Yrs, PCCVs &gt; 6 Pass &lt; 10 Yrs, Subj to a satisfactory Veh Insp&#10;&#10;# NDP Not Avb for 3 Wh&#10;&#10;# 5% Disc, if renewed with same U/w Unit" sqref="M4">
      <formula1>"Yes-Required,No-Not Required"</formula1>
    </dataValidation>
    <dataValidation type="list" allowBlank="1" showInputMessage="1" showErrorMessage="1" sqref="M5">
      <formula1>"Fuel - Diesel,Fuel - Others"</formula1>
    </dataValidation>
    <dataValidation type="list" allowBlank="1" showInputMessage="1" showErrorMessage="1" sqref="M6">
      <formula1>"Imported,Indigenous"</formula1>
    </dataValidation>
    <dataValidation type="list" allowBlank="1" showInputMessage="1" showErrorMessage="1" sqref="I18">
      <formula1>"Anti Theft - Yes,Anti Theft - No"</formula1>
    </dataValidation>
    <dataValidation type="whole" allowBlank="1" showErrorMessage="1" promptTitle="Registered Seating Capacity" prompt="&#10;# To be Mentioned Registered Seating Capacity As per the Reg. Certificate of Vehicle, Excluding the Driver&#10;&#10;# For Example: 5+1 Means, Five Occupants Plus Driver&#10;&#10;# Un-Named PA, if any is opted for, Premium multiplied as Seating Cap X PA Sum per Person" sqref="E15">
      <formula1>3</formula1>
      <formula2>999</formula2>
    </dataValidation>
    <dataValidation type="list" operator="equal" showErrorMessage="1" promptTitle="Un-Named PA: Occupants" prompt="&#10;# Add-On Cover, to be paid for all the Occupants, Excl Driver&#10;&#10;# Ranging from 10,000 to 2,00,000 each, with an increment of 10,000&#10;&#10;# Claim shall be paid for, Accidental Death, Loss of Organs, PTD, during the course of travel, on the Vehicle Insured" sqref="F15">
      <formula1>Unnamed</formula1>
    </dataValidation>
    <dataValidation operator="equal" allowBlank="1" showErrorMessage="1" errorTitle="Sum Insured" error="Please Enter the Data Correctly, to validate the Field" sqref="H32:H35">
      <formula1>0</formula1>
    </dataValidation>
    <dataValidation type="list" allowBlank="1" showErrorMessage="1" promptTitle="No Claim Bonus shall be granted:" prompt="&#10;# Expiry of Prev Policy must be with in 90 Days&#10;&#10;# There should not be any Claim in the Previous Policy&#10;&#10;# Ownership shall also be same as the Previous Policy&#10;&#10;# Basis: Renewal Notice or No Claim Declaration by the Insured" sqref="G15">
      <formula1>NCB</formula1>
    </dataValidation>
    <dataValidation type="whole" allowBlank="1" showErrorMessage="1" promptTitle="Electrial/Electronic Accessories" prompt="&#10;# The Equipment shall only be covered, if opted for Package Policy&#10;&#10;# Value of Equipment shall have to be shown separately&#10;&#10;# Premium to be paid @ 4%, on such a value, regardless of Age/Zone/Class" errorTitle="Sum Insured" error="Please Enter the Data Correctly, to validate the Field" sqref="E11:F11">
      <formula1>0</formula1>
      <formula2>9999999</formula2>
    </dataValidation>
    <dataValidation errorStyle="warning" type="whole" allowBlank="1" promptTitle="Registration Number of Vehicle" prompt="&#10;# It is Relevant only, when the following occasions:&#10;&#10;# While output of the quote is printed on paper and to be presented the same to the client as a Premium Quote&#10;&#10;# While capturing relevant details through E-Quote and sending E-mail to Client" sqref="D7">
      <formula1>5000</formula1>
      <formula2>999999999</formula2>
    </dataValidation>
    <dataValidation errorStyle="warning" type="whole" allowBlank="1" promptTitle="Make and Model of the Vehicle" prompt="&#10;# It is Relevant only, when the following occasions:&#10;&#10;# While output of the quote is printed on paper and to be presented the same to the client as a Premium Quote&#10;&#10;# While capturing relevant details through E-Quote and sending E-mail to Client" sqref="E7">
      <formula1>5000</formula1>
      <formula2>999999999</formula2>
    </dataValidation>
    <dataValidation errorStyle="warning" type="whole" allowBlank="1" promptTitle="Name of the Registered Owner" prompt="&#10;# It is Relevant only, when the following occasions:&#10;&#10;# While output of the quote is printed on paper and to be presented the same to the client as a Premium Quote&#10;&#10;# While capturing relevant details through E-Quote and sending E-mail to Client" sqref="E4:F4">
      <formula1>0</formula1>
      <formula2>9999999</formula2>
    </dataValidation>
    <dataValidation type="list" operator="equal" showErrorMessage="1" promptTitle="Coverage Option" prompt="&#10;# Package Policy gives Own Damage Benefit to Vehicle and Third Parties&#10;&#10;# Liability Only Policy Benefits only for the Third Parties" sqref="I4">
      <formula1>"Liability Only,Package Policy"</formula1>
    </dataValidation>
    <dataValidation type="whole" allowBlank="1" showErrorMessage="1" promptTitle="Fixing of IDV / Sum Insured:" prompt="&#10;# IDV has to be fixed (Depr from Invoice Price), as per IMT Provision upto 5 Years&#10;&#10;# Sum Ins is to be Arrived at / Agreed for, as per the Mutual Consent, between the Insured / Insurer, for Vehs' Abv 5 Yrs Age&#10;&#10;# Minimum Sum Insured is Rs.30,000/-" errorTitle="Sum Insured" error="Please Enter the Data Correctly, to validate the Field" sqref="D11">
      <formula1>30000</formula1>
      <formula2>999999999</formula2>
    </dataValidation>
    <dataValidation type="list" operator="equal" showErrorMessage="1" promptTitle="Zone of Registration / Operation" prompt="&#10;# Zone means, Zone of Registration&#10;&#10;# Even though, plying area, normally to be considered, as facts reveal, Zone - A is more claims prone&#10;&#10;# Zone A: New Delhi, Kolkota, Mumbai, Chennai, Hyderabad, Pune, Bengaluru, Ahmedabad&#10;&#10;# Zone B: Rest of India (ROI)" sqref="I7:I8">
      <formula1>"Zone:  A,Zone:  B"</formula1>
    </dataValidation>
    <dataValidation errorStyle="warning" type="list" allowBlank="1" promptTitle="Age of Vehicle (Veh's 1st Regn)" prompt="&#10;# To be arrived  from First Date of Regn, i.e., from the Date of Delivery of the Vehicle from the Show-Room&#10;&#10;# Hence, mention the correct Veh's Age (as per Veh's Registration Certificate), as the Age is one of the Rating Factors to calculate the OD Prem" sqref="F7:F8">
      <formula1>$AB$2:$AB$10</formula1>
    </dataValidation>
    <dataValidation type="list" allowBlank="1" showErrorMessage="1" promptTitle="Cubic Capacity of the Vehicle" prompt="&#10;# Mention correct Cubic Capacity of the Vehicle to get the correct premium as the CC is the Prime Rating Factor for Both Liab and Package Policies&#10;&#10;# Hence, mention the correct Cubic Capacity of the Vehicle as per the Vehicle's Registration Certificate" sqref="G7:H8">
      <formula1>$AB$12:$AB$15</formula1>
    </dataValidation>
    <dataValidation type="list" allowBlank="1" showErrorMessage="1" promptTitle="CNG / LPG Kit" prompt="&#10;# Must be Declared, if RC / Veh is endorsed for Bi-Fuel, duly fitted with CNG/LPG Kit&#10;&#10;# Pay an Additional Premium of Rs.60/- towards Legal Liability for both Liability Only and Package Policies&#10;&#10;# Coverage for Kit value is Avb only with Package Policy" sqref="G11">
      <formula1>"Yes,No"</formula1>
    </dataValidation>
    <dataValidation type="list" allowBlank="1" showErrorMessage="1" promptTitle="Compulsory PA: Owner-cum-Driver" prompt="&#10;# Rs.2,00,000/- PA Cover for Registered Owner of the Vehicle&#10;&#10;# Cover can be opted-out only, if Regd on Firm's Name and also if the Owner is not having a valid Driving License&#10;&#10;# On Option of Cover, Rs.100/- shall be added to the TP Part of Premium" sqref="D15">
      <formula1>"Yes (Required),No (Deletion)"</formula1>
    </dataValidation>
    <dataValidation type="list" allowBlank="1" showInputMessage="1" showErrorMessage="1" sqref="E18">
      <formula1>"Yes,No"</formula1>
    </dataValidation>
    <dataValidation type="list" allowBlank="1" showInputMessage="1" showErrorMessage="1" sqref="G18:H18">
      <formula1>"Limited,Wider"</formula1>
    </dataValidation>
    <dataValidation type="decimal" allowBlank="1" showErrorMessage="1" promptTitle="Underwriting / Detariff Discount" prompt="&#10;# Field Permits the Users, to give a Max of 81% Discount on OD Part of Premium&#10;&#10;# Subject to computation of Minimum OD Part of Premium&#10;&#10;# To be followed by our Co's Discount Pattern from time to time" errorTitle="U/w Discount" error="Please Enter the Discount %age Correctly (Max 93.69%), to validate this Field" sqref="I15:I16">
      <formula1>0</formula1>
      <formula2>93.69</formula2>
    </dataValidation>
  </dataValidations>
  <printOptions horizontalCentered="1" verticalCentered="1"/>
  <pageMargins left="0.5" right="0.5" top="0.4" bottom="0.4" header="0.3" footer="0.3"/>
  <pageSetup fitToHeight="1" fitToWidth="1"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tabColor rgb="FFFF0000"/>
    <pageSetUpPr fitToPage="1"/>
  </sheetPr>
  <dimension ref="A1:AE64"/>
  <sheetViews>
    <sheetView showGridLines="0" showRowColHeaders="0" zoomScalePageLayoutView="0" workbookViewId="0" topLeftCell="A1">
      <selection activeCell="E4" sqref="E4:F4"/>
    </sheetView>
  </sheetViews>
  <sheetFormatPr defaultColWidth="0" defaultRowHeight="0" customHeight="1" zeroHeight="1"/>
  <cols>
    <col min="1" max="1" width="1.7109375" style="2" customWidth="1"/>
    <col min="2" max="2" width="2.7109375" style="2" customWidth="1"/>
    <col min="3" max="3" width="1.7109375" style="2" customWidth="1"/>
    <col min="4" max="6" width="14.7109375" style="2" customWidth="1"/>
    <col min="7" max="7" width="1.421875" style="2" customWidth="1"/>
    <col min="8" max="8" width="13.7109375" style="2" customWidth="1"/>
    <col min="9" max="9" width="14.7109375" style="2" customWidth="1"/>
    <col min="10" max="10" width="1.7109375" style="2" customWidth="1"/>
    <col min="11" max="11" width="2.7109375" style="117" customWidth="1"/>
    <col min="12" max="12" width="2.7109375" style="121" customWidth="1"/>
    <col min="13" max="13" width="1.7109375" style="121" customWidth="1"/>
    <col min="14" max="14" width="22.7109375" style="121" customWidth="1"/>
    <col min="15" max="15" width="1.7109375" style="121" customWidth="1"/>
    <col min="16" max="16" width="22.7109375" style="121" customWidth="1"/>
    <col min="17" max="18" width="1.7109375" style="121" customWidth="1"/>
    <col min="19" max="19" width="2.7109375" style="121" hidden="1" customWidth="1"/>
    <col min="20" max="20" width="9.8515625" style="2" hidden="1" customWidth="1"/>
    <col min="21" max="21" width="11.140625" style="2" hidden="1" customWidth="1"/>
    <col min="22" max="22" width="9.8515625" style="2" hidden="1" customWidth="1"/>
    <col min="23" max="24" width="9.7109375" style="2" hidden="1" customWidth="1"/>
    <col min="25" max="25" width="9.7109375" style="119" hidden="1" customWidth="1"/>
    <col min="26" max="26" width="10.421875" style="119" hidden="1" customWidth="1"/>
    <col min="27" max="27" width="9.28125" style="119" hidden="1" customWidth="1"/>
    <col min="28" max="28" width="9.28125" style="171" hidden="1" customWidth="1"/>
    <col min="29" max="33" width="9.28125" style="2" hidden="1" customWidth="1"/>
    <col min="34" max="16384" width="9.140625" style="2" hidden="1" customWidth="1"/>
  </cols>
  <sheetData>
    <row r="1" spans="1:28" s="43" customFormat="1" ht="12" customHeight="1">
      <c r="A1" s="39"/>
      <c r="B1" s="39"/>
      <c r="C1" s="39"/>
      <c r="D1" s="39"/>
      <c r="E1" s="39"/>
      <c r="F1" s="39"/>
      <c r="G1" s="39"/>
      <c r="H1" s="39"/>
      <c r="I1" s="39"/>
      <c r="J1" s="39"/>
      <c r="K1" s="39"/>
      <c r="L1" s="39"/>
      <c r="M1" s="39"/>
      <c r="N1" s="39"/>
      <c r="O1" s="39"/>
      <c r="P1" s="39"/>
      <c r="Q1" s="39"/>
      <c r="R1" s="39"/>
      <c r="S1" s="39"/>
      <c r="T1" s="132" t="s">
        <v>123</v>
      </c>
      <c r="U1" s="133" t="s">
        <v>29</v>
      </c>
      <c r="V1" s="133" t="s">
        <v>12</v>
      </c>
      <c r="W1" s="133" t="s">
        <v>30</v>
      </c>
      <c r="X1" s="133" t="s">
        <v>31</v>
      </c>
      <c r="Y1" s="133" t="s">
        <v>124</v>
      </c>
      <c r="Z1" s="133" t="s">
        <v>98</v>
      </c>
      <c r="AA1" s="40"/>
      <c r="AB1" s="92"/>
    </row>
    <row r="2" spans="1:28" s="43" customFormat="1" ht="21.75" customHeight="1">
      <c r="A2" s="39"/>
      <c r="B2" s="45"/>
      <c r="C2" s="615" t="s">
        <v>75</v>
      </c>
      <c r="D2" s="616"/>
      <c r="E2" s="616"/>
      <c r="F2" s="616"/>
      <c r="G2" s="626" t="str">
        <f>CONCATENATE("Com: ",IF(K4=2,N50,N51))</f>
        <v>Com: 5439</v>
      </c>
      <c r="H2" s="626"/>
      <c r="I2" s="627" t="s">
        <v>125</v>
      </c>
      <c r="J2" s="627"/>
      <c r="K2" s="628"/>
      <c r="L2" s="39"/>
      <c r="M2" s="275"/>
      <c r="N2" s="286"/>
      <c r="O2" s="286"/>
      <c r="P2" s="286"/>
      <c r="Q2" s="284"/>
      <c r="R2" s="39"/>
      <c r="S2" s="39"/>
      <c r="T2" s="706" t="s">
        <v>126</v>
      </c>
      <c r="U2" s="134" t="s">
        <v>19</v>
      </c>
      <c r="V2" s="135">
        <f>Tariffs!$G$27</f>
        <v>3.284</v>
      </c>
      <c r="W2" s="135">
        <f>Tariffs!$H$27</f>
        <v>3.366</v>
      </c>
      <c r="X2" s="135">
        <f>Tariffs!$I$27</f>
        <v>3.448</v>
      </c>
      <c r="Y2" s="135">
        <f aca="true" t="shared" si="0" ref="Y2:Y7">IF($G$7&lt;5.01,V2,IF($G$7&lt;7.01,W2,X2))</f>
        <v>3.284</v>
      </c>
      <c r="Z2" s="135">
        <f>IF($K$13=1,Y2,Y3)</f>
        <v>3.284</v>
      </c>
      <c r="AA2" s="42">
        <v>0</v>
      </c>
      <c r="AB2" s="92"/>
    </row>
    <row r="3" spans="1:28" s="43" customFormat="1" ht="9" customHeight="1">
      <c r="A3" s="39"/>
      <c r="B3" s="49"/>
      <c r="C3" s="53"/>
      <c r="D3" s="696"/>
      <c r="E3" s="696"/>
      <c r="F3" s="696"/>
      <c r="G3" s="696"/>
      <c r="H3" s="696"/>
      <c r="I3" s="696"/>
      <c r="J3" s="50"/>
      <c r="K3" s="122"/>
      <c r="L3" s="39"/>
      <c r="M3" s="276"/>
      <c r="N3" s="279"/>
      <c r="O3" s="279"/>
      <c r="P3" s="279"/>
      <c r="Q3" s="280"/>
      <c r="R3" s="39"/>
      <c r="S3" s="39"/>
      <c r="T3" s="706"/>
      <c r="U3" s="135" t="s">
        <v>20</v>
      </c>
      <c r="V3" s="135">
        <f>Tariffs!$G$28</f>
        <v>3.191</v>
      </c>
      <c r="W3" s="135">
        <f>Tariffs!$H$28</f>
        <v>3.271</v>
      </c>
      <c r="X3" s="135">
        <f>Tariffs!$I$28</f>
        <v>3.351</v>
      </c>
      <c r="Y3" s="135">
        <f t="shared" si="0"/>
        <v>3.191</v>
      </c>
      <c r="Z3" s="136">
        <f>IF(Sign!$E$11="2018-19",Tariffs!$J$27,Tariffs!$W$27)</f>
        <v>5437</v>
      </c>
      <c r="AA3" s="42">
        <v>20</v>
      </c>
      <c r="AB3" s="92"/>
    </row>
    <row r="4" spans="1:28" s="43" customFormat="1" ht="25.5" customHeight="1">
      <c r="A4" s="39"/>
      <c r="B4" s="49"/>
      <c r="C4" s="50"/>
      <c r="D4" s="288" t="s">
        <v>80</v>
      </c>
      <c r="E4" s="643" t="s">
        <v>474</v>
      </c>
      <c r="F4" s="644"/>
      <c r="G4" s="707" t="s">
        <v>81</v>
      </c>
      <c r="H4" s="707"/>
      <c r="I4" s="51" t="s">
        <v>82</v>
      </c>
      <c r="J4" s="52"/>
      <c r="K4" s="122">
        <f>IF(I4="Package Policy",1,2)</f>
        <v>1</v>
      </c>
      <c r="L4" s="39"/>
      <c r="M4" s="276"/>
      <c r="N4" s="708" t="s">
        <v>214</v>
      </c>
      <c r="O4" s="709"/>
      <c r="P4" s="710"/>
      <c r="Q4" s="280"/>
      <c r="R4" s="39"/>
      <c r="S4" s="39"/>
      <c r="T4" s="706" t="s">
        <v>127</v>
      </c>
      <c r="U4" s="134" t="s">
        <v>19</v>
      </c>
      <c r="V4" s="135">
        <f>Tariffs!$G$29</f>
        <v>3.448</v>
      </c>
      <c r="W4" s="135">
        <f>Tariffs!$H$29</f>
        <v>3.534</v>
      </c>
      <c r="X4" s="135">
        <f>Tariffs!$I$29</f>
        <v>3.62</v>
      </c>
      <c r="Y4" s="135">
        <f t="shared" si="0"/>
        <v>3.448</v>
      </c>
      <c r="Z4" s="135">
        <f>IF($K$13=1,Y4,Y5)</f>
        <v>3.448</v>
      </c>
      <c r="AA4" s="42">
        <v>25</v>
      </c>
      <c r="AB4" s="92"/>
    </row>
    <row r="5" spans="1:28" s="43" customFormat="1" ht="9.75" customHeight="1">
      <c r="A5" s="39"/>
      <c r="B5" s="49"/>
      <c r="C5" s="53"/>
      <c r="D5" s="53"/>
      <c r="E5" s="53"/>
      <c r="F5" s="53"/>
      <c r="G5" s="53"/>
      <c r="H5" s="53"/>
      <c r="I5" s="53"/>
      <c r="J5" s="53"/>
      <c r="K5" s="122"/>
      <c r="L5" s="39"/>
      <c r="M5" s="276"/>
      <c r="N5" s="279"/>
      <c r="O5" s="279"/>
      <c r="P5" s="279"/>
      <c r="Q5" s="280"/>
      <c r="R5" s="39"/>
      <c r="S5" s="39"/>
      <c r="T5" s="706"/>
      <c r="U5" s="135" t="s">
        <v>20</v>
      </c>
      <c r="V5" s="135">
        <f>Tariffs!$G$30</f>
        <v>3.351</v>
      </c>
      <c r="W5" s="135">
        <f>Tariffs!$H$30</f>
        <v>3.435</v>
      </c>
      <c r="X5" s="135">
        <f>Tariffs!$I$30</f>
        <v>3.519</v>
      </c>
      <c r="Y5" s="135">
        <f t="shared" si="0"/>
        <v>3.351</v>
      </c>
      <c r="Z5" s="136">
        <f>IF(Sign!$E$11="2018-19",Tariffs!$J$29,Tariffs!$W$29)</f>
        <v>7147</v>
      </c>
      <c r="AA5" s="42">
        <v>35</v>
      </c>
      <c r="AB5" s="92"/>
    </row>
    <row r="6" spans="1:28" s="43" customFormat="1" ht="18" customHeight="1">
      <c r="A6" s="39"/>
      <c r="B6" s="49"/>
      <c r="C6" s="50"/>
      <c r="D6" s="292" t="s">
        <v>128</v>
      </c>
      <c r="E6" s="289" t="s">
        <v>84</v>
      </c>
      <c r="F6" s="288" t="s">
        <v>85</v>
      </c>
      <c r="G6" s="711" t="s">
        <v>86</v>
      </c>
      <c r="H6" s="711"/>
      <c r="I6" s="290" t="s">
        <v>432</v>
      </c>
      <c r="J6" s="50"/>
      <c r="K6" s="122">
        <f>IF(D7="3 Wh Auto",3,IF(D7="E-Rickshaw",4,IF(D7="4 Wheeler",IF(E13&lt;7,1,2))))</f>
        <v>1</v>
      </c>
      <c r="L6" s="39"/>
      <c r="M6" s="276"/>
      <c r="N6" s="319" t="s">
        <v>213</v>
      </c>
      <c r="O6" s="279"/>
      <c r="P6" s="319" t="s">
        <v>212</v>
      </c>
      <c r="Q6" s="280"/>
      <c r="R6" s="39"/>
      <c r="S6" s="39"/>
      <c r="T6" s="706" t="s">
        <v>27</v>
      </c>
      <c r="U6" s="134" t="s">
        <v>19</v>
      </c>
      <c r="V6" s="135">
        <f>Tariffs!$G$31</f>
        <v>3.612</v>
      </c>
      <c r="W6" s="135">
        <f>Tariffs!$H$31</f>
        <v>3.7030000000000003</v>
      </c>
      <c r="X6" s="135">
        <f>Tariffs!$I$31</f>
        <v>3.793</v>
      </c>
      <c r="Y6" s="135">
        <f t="shared" si="0"/>
        <v>3.612</v>
      </c>
      <c r="Z6" s="135">
        <f>IF($K$13=1,Y6,Y7)</f>
        <v>3.612</v>
      </c>
      <c r="AA6" s="42">
        <v>45</v>
      </c>
      <c r="AB6" s="92"/>
    </row>
    <row r="7" spans="1:28" s="43" customFormat="1" ht="48.75" customHeight="1">
      <c r="A7" s="39"/>
      <c r="B7" s="49"/>
      <c r="C7" s="50"/>
      <c r="D7" s="58" t="s">
        <v>153</v>
      </c>
      <c r="E7" s="54" t="s">
        <v>407</v>
      </c>
      <c r="F7" s="54" t="s">
        <v>408</v>
      </c>
      <c r="G7" s="712">
        <v>2</v>
      </c>
      <c r="H7" s="712"/>
      <c r="I7" s="71">
        <v>0</v>
      </c>
      <c r="J7" s="52"/>
      <c r="K7" s="122">
        <f>IF(I6="CNG/LPG - Yes",1,2)</f>
        <v>2</v>
      </c>
      <c r="L7" s="39"/>
      <c r="M7" s="276"/>
      <c r="N7" s="320">
        <f>IF(W59=0,"Not Avb",W59)</f>
        <v>55813</v>
      </c>
      <c r="O7" s="279"/>
      <c r="P7" s="320">
        <f>IF(AE59=0,"Not Avb",AE59)</f>
        <v>13023</v>
      </c>
      <c r="Q7" s="280"/>
      <c r="R7" s="39"/>
      <c r="S7" s="39"/>
      <c r="T7" s="706"/>
      <c r="U7" s="135" t="s">
        <v>20</v>
      </c>
      <c r="V7" s="135">
        <f>Tariffs!$G$32</f>
        <v>3.51</v>
      </c>
      <c r="W7" s="135">
        <f>Tariffs!$H$32</f>
        <v>3.598</v>
      </c>
      <c r="X7" s="135">
        <f>Tariffs!$I$32</f>
        <v>3.686</v>
      </c>
      <c r="Y7" s="135">
        <f t="shared" si="0"/>
        <v>3.51</v>
      </c>
      <c r="Z7" s="136">
        <f>IF(Sign!$E$11="2018-19",Tariffs!$J$31,Tariffs!$W$31)</f>
        <v>9472</v>
      </c>
      <c r="AA7" s="42">
        <v>50</v>
      </c>
      <c r="AB7" s="92"/>
    </row>
    <row r="8" spans="1:28" s="43" customFormat="1" ht="9" customHeight="1">
      <c r="A8" s="39"/>
      <c r="B8" s="49"/>
      <c r="C8" s="53"/>
      <c r="D8" s="53"/>
      <c r="E8" s="53"/>
      <c r="F8" s="53"/>
      <c r="G8" s="53"/>
      <c r="H8" s="53"/>
      <c r="I8" s="53"/>
      <c r="J8" s="53"/>
      <c r="K8" s="122"/>
      <c r="L8" s="39"/>
      <c r="M8" s="276"/>
      <c r="N8" s="278"/>
      <c r="O8" s="279"/>
      <c r="P8" s="285"/>
      <c r="Q8" s="280"/>
      <c r="R8" s="39"/>
      <c r="S8" s="39"/>
      <c r="T8" s="137" t="s">
        <v>98</v>
      </c>
      <c r="U8" s="138">
        <f>IF($D$13&lt;1001,$Z$2,IF($D$13&lt;1501,$Z$4,$Z$6))</f>
        <v>3.448</v>
      </c>
      <c r="V8" s="139" t="s">
        <v>74</v>
      </c>
      <c r="W8" s="140">
        <f>IF($D$13&lt;1001,$Z$3,IF($D$13&lt;1501,$Z$5,$Z$7))</f>
        <v>7147</v>
      </c>
      <c r="X8" s="141" t="s">
        <v>129</v>
      </c>
      <c r="Y8" s="140" t="str">
        <f>IF(Sign!E11="2018-19",(IF(D13&lt;1001,LEFT(Tariffs!J28,4),IF(D13&lt;1501,LEFT(Tariffs!J30,3),LEFT(Tariffs!J32,4)))),IF(Sign!E11="2017-18",(IF(D13&lt;1001,LEFT(Tariffs!W28,4),IF(D13&lt;1501,LEFT(Tariffs!W30,4),LEFT(Tariffs!W32,4)))),0))</f>
        <v>880</v>
      </c>
      <c r="Z8" s="39"/>
      <c r="AA8" s="42">
        <v>65</v>
      </c>
      <c r="AB8" s="92"/>
    </row>
    <row r="9" spans="1:28" s="43" customFormat="1" ht="18" customHeight="1">
      <c r="A9" s="39"/>
      <c r="B9" s="49"/>
      <c r="C9" s="50"/>
      <c r="D9" s="289" t="str">
        <f>IF(G7&lt;5.01,"IDV of Vehicle","Sum Insured")</f>
        <v>IDV of Vehicle</v>
      </c>
      <c r="E9" s="289" t="s">
        <v>90</v>
      </c>
      <c r="F9" s="289" t="s">
        <v>91</v>
      </c>
      <c r="G9" s="711" t="s">
        <v>92</v>
      </c>
      <c r="H9" s="711"/>
      <c r="I9" s="288" t="s">
        <v>93</v>
      </c>
      <c r="J9" s="50"/>
      <c r="K9" s="650" t="s">
        <v>94</v>
      </c>
      <c r="L9" s="651"/>
      <c r="M9" s="276"/>
      <c r="N9" s="319" t="s">
        <v>209</v>
      </c>
      <c r="O9" s="279"/>
      <c r="P9" s="319" t="s">
        <v>210</v>
      </c>
      <c r="Q9" s="280"/>
      <c r="R9" s="39"/>
      <c r="S9" s="39"/>
      <c r="T9" s="142"/>
      <c r="U9" s="39"/>
      <c r="V9" s="39"/>
      <c r="W9" s="39"/>
      <c r="X9" s="39"/>
      <c r="Y9" s="39"/>
      <c r="Z9" s="39"/>
      <c r="AA9" s="39"/>
      <c r="AB9" s="92"/>
    </row>
    <row r="10" spans="1:28" s="43" customFormat="1" ht="48.75" customHeight="1">
      <c r="A10" s="39"/>
      <c r="B10" s="49"/>
      <c r="C10" s="50"/>
      <c r="D10" s="62">
        <v>1081089</v>
      </c>
      <c r="E10" s="62">
        <v>108108</v>
      </c>
      <c r="F10" s="62">
        <v>108108</v>
      </c>
      <c r="G10" s="713" t="s">
        <v>314</v>
      </c>
      <c r="H10" s="713"/>
      <c r="I10" s="58" t="s">
        <v>429</v>
      </c>
      <c r="J10" s="52"/>
      <c r="K10" s="624">
        <v>60</v>
      </c>
      <c r="L10" s="625"/>
      <c r="M10" s="276"/>
      <c r="N10" s="320">
        <f>IF(AD59=0,"Not Avb",AD59)</f>
        <v>47254</v>
      </c>
      <c r="O10" s="279"/>
      <c r="P10" s="320">
        <f>IF(AC59=0,"Not Avb",AC59)</f>
        <v>55813</v>
      </c>
      <c r="Q10" s="280"/>
      <c r="R10" s="39"/>
      <c r="S10" s="39"/>
      <c r="T10" s="143" t="s">
        <v>130</v>
      </c>
      <c r="U10" s="144" t="s">
        <v>29</v>
      </c>
      <c r="V10" s="144" t="s">
        <v>12</v>
      </c>
      <c r="W10" s="144" t="s">
        <v>30</v>
      </c>
      <c r="X10" s="144" t="s">
        <v>31</v>
      </c>
      <c r="Y10" s="144" t="s">
        <v>124</v>
      </c>
      <c r="Z10" s="144" t="s">
        <v>131</v>
      </c>
      <c r="AA10" s="39"/>
      <c r="AB10" s="92"/>
    </row>
    <row r="11" spans="1:28" s="43" customFormat="1" ht="9" customHeight="1">
      <c r="A11" s="39"/>
      <c r="B11" s="49"/>
      <c r="C11" s="53"/>
      <c r="D11" s="53"/>
      <c r="E11" s="53"/>
      <c r="F11" s="53"/>
      <c r="G11" s="53"/>
      <c r="H11" s="53"/>
      <c r="I11" s="53"/>
      <c r="J11" s="53"/>
      <c r="K11" s="122">
        <f>IF(K4=2,3,IF(K6=3,3,IF(G10="W/o Ren Disc",1,IF(G10="With Ren Disc",2,3))))</f>
        <v>1</v>
      </c>
      <c r="L11" s="39"/>
      <c r="M11" s="276"/>
      <c r="N11" s="278"/>
      <c r="O11" s="279"/>
      <c r="P11" s="285"/>
      <c r="Q11" s="280"/>
      <c r="R11" s="39"/>
      <c r="S11" s="39"/>
      <c r="T11" s="145" t="s">
        <v>132</v>
      </c>
      <c r="U11" s="146" t="s">
        <v>19</v>
      </c>
      <c r="V11" s="147">
        <f>Tariffs!$G$34</f>
        <v>1.6800000000000002</v>
      </c>
      <c r="W11" s="147">
        <f>Tariffs!$H$34</f>
        <v>1.722</v>
      </c>
      <c r="X11" s="147">
        <f>Tariffs!$I$34</f>
        <v>1.764</v>
      </c>
      <c r="Y11" s="147">
        <f>IF(G$7&lt;5.01,V11,IF(G$7&lt;7.01,W11,X11))</f>
        <v>1.6800000000000002</v>
      </c>
      <c r="Z11" s="148">
        <v>350</v>
      </c>
      <c r="AA11" s="39"/>
      <c r="AB11" s="92"/>
    </row>
    <row r="12" spans="1:28" s="43" customFormat="1" ht="18" customHeight="1">
      <c r="A12" s="39"/>
      <c r="B12" s="49"/>
      <c r="C12" s="50"/>
      <c r="D12" s="288" t="s">
        <v>87</v>
      </c>
      <c r="E12" s="288" t="s">
        <v>130</v>
      </c>
      <c r="F12" s="288" t="s">
        <v>11</v>
      </c>
      <c r="G12" s="711" t="s">
        <v>133</v>
      </c>
      <c r="H12" s="711"/>
      <c r="I12" s="288" t="s">
        <v>134</v>
      </c>
      <c r="J12" s="53"/>
      <c r="K12" s="122">
        <f>IF(K4=2,2,IF(G7&gt;2,2,IF(I10="Yes",1,2)))</f>
        <v>2</v>
      </c>
      <c r="L12" s="39"/>
      <c r="M12" s="276"/>
      <c r="N12" s="319" t="s">
        <v>211</v>
      </c>
      <c r="O12" s="279"/>
      <c r="P12" s="319" t="s">
        <v>215</v>
      </c>
      <c r="Q12" s="280"/>
      <c r="R12" s="39"/>
      <c r="S12" s="39"/>
      <c r="T12" s="145" t="s">
        <v>135</v>
      </c>
      <c r="U12" s="147" t="s">
        <v>20</v>
      </c>
      <c r="V12" s="147">
        <f>Tariffs!$G$35</f>
        <v>1.6720000000000002</v>
      </c>
      <c r="W12" s="147">
        <f>Tariffs!$H$35</f>
        <v>1.714</v>
      </c>
      <c r="X12" s="147">
        <f>Tariffs!$I$35</f>
        <v>1.756</v>
      </c>
      <c r="Y12" s="147">
        <f>IF(G$7&lt;5.01,V12,IF(G$7&lt;7.01,W12,X12))</f>
        <v>1.6720000000000002</v>
      </c>
      <c r="Z12" s="148">
        <v>450</v>
      </c>
      <c r="AA12" s="39"/>
      <c r="AB12" s="92"/>
    </row>
    <row r="13" spans="1:28" s="43" customFormat="1" ht="48.75" customHeight="1">
      <c r="A13" s="39"/>
      <c r="B13" s="49"/>
      <c r="C13" s="50"/>
      <c r="D13" s="57">
        <v>1389</v>
      </c>
      <c r="E13" s="123">
        <v>4</v>
      </c>
      <c r="F13" s="58" t="s">
        <v>78</v>
      </c>
      <c r="G13" s="713" t="s">
        <v>95</v>
      </c>
      <c r="H13" s="713"/>
      <c r="I13" s="58" t="s">
        <v>305</v>
      </c>
      <c r="J13" s="53"/>
      <c r="K13" s="122">
        <f>IF(F13="Zone:  A",1,IF(F13="Zone:  B",2,3))</f>
        <v>1</v>
      </c>
      <c r="L13" s="39"/>
      <c r="M13" s="276"/>
      <c r="N13" s="320">
        <f>IF(AB59=0,"Not Avb",AB59)</f>
        <v>55504</v>
      </c>
      <c r="O13" s="279"/>
      <c r="P13" s="320">
        <f>IF(AA59=0,"Not Avb",AA59)</f>
        <v>64063</v>
      </c>
      <c r="Q13" s="280"/>
      <c r="R13" s="39"/>
      <c r="S13" s="39"/>
      <c r="T13" s="145" t="s">
        <v>137</v>
      </c>
      <c r="U13" s="146" t="s">
        <v>42</v>
      </c>
      <c r="V13" s="147">
        <f>Tariffs!$G$36</f>
        <v>1.6560000000000001</v>
      </c>
      <c r="W13" s="147">
        <f>Tariffs!$H$36</f>
        <v>1.697</v>
      </c>
      <c r="X13" s="147">
        <f>Tariffs!$I$36</f>
        <v>1.7389999999999999</v>
      </c>
      <c r="Y13" s="147">
        <f>IF(G$7&lt;5.01,V13,IF(G$7&lt;7.01,W13,X13))</f>
        <v>1.6560000000000001</v>
      </c>
      <c r="Z13" s="148">
        <v>550</v>
      </c>
      <c r="AA13" s="39"/>
      <c r="AB13" s="92"/>
    </row>
    <row r="14" spans="1:28" s="43" customFormat="1" ht="9" customHeight="1">
      <c r="A14" s="39"/>
      <c r="B14" s="49"/>
      <c r="C14" s="53"/>
      <c r="D14" s="53"/>
      <c r="E14" s="53"/>
      <c r="F14" s="53"/>
      <c r="G14" s="53"/>
      <c r="H14" s="53"/>
      <c r="I14" s="53"/>
      <c r="J14" s="53"/>
      <c r="K14" s="122">
        <f>IF(I13="No",0,IF(I13="Yes 1/Emp",1,IF(I13="Yes 2/Emp",2,3)))</f>
        <v>1</v>
      </c>
      <c r="L14" s="39"/>
      <c r="M14" s="276"/>
      <c r="N14" s="278"/>
      <c r="O14" s="279"/>
      <c r="P14" s="285"/>
      <c r="Q14" s="280"/>
      <c r="R14" s="39"/>
      <c r="S14" s="39"/>
      <c r="T14" s="145" t="s">
        <v>138</v>
      </c>
      <c r="U14" s="147"/>
      <c r="V14" s="147"/>
      <c r="W14" s="147"/>
      <c r="X14" s="147"/>
      <c r="Y14" s="147"/>
      <c r="Z14" s="148">
        <v>680</v>
      </c>
      <c r="AA14" s="39"/>
      <c r="AB14" s="92"/>
    </row>
    <row r="15" spans="1:28" s="43" customFormat="1" ht="18" customHeight="1">
      <c r="A15" s="39"/>
      <c r="B15" s="49"/>
      <c r="C15" s="50"/>
      <c r="D15" s="288" t="s">
        <v>100</v>
      </c>
      <c r="E15" s="288" t="s">
        <v>101</v>
      </c>
      <c r="F15" s="288" t="s">
        <v>120</v>
      </c>
      <c r="G15" s="711" t="s">
        <v>103</v>
      </c>
      <c r="H15" s="711"/>
      <c r="I15" s="289" t="s">
        <v>104</v>
      </c>
      <c r="J15" s="53"/>
      <c r="K15" s="122">
        <f>IF(K11=1,1,IF(K11=2,1,IF(G13="Yes",1,2)))</f>
        <v>1</v>
      </c>
      <c r="L15" s="39"/>
      <c r="M15" s="276"/>
      <c r="N15" s="278"/>
      <c r="O15" s="279"/>
      <c r="P15" s="285"/>
      <c r="Q15" s="280"/>
      <c r="R15" s="39"/>
      <c r="S15" s="39"/>
      <c r="T15" s="137" t="s">
        <v>98</v>
      </c>
      <c r="U15" s="138">
        <f>IF($K$13=1,Y11,IF($K$13=2,Y12,Y13))</f>
        <v>1.6800000000000002</v>
      </c>
      <c r="V15" s="139" t="s">
        <v>74</v>
      </c>
      <c r="W15" s="140">
        <f>IF(Sign!E11="2018-19",Tariffs!J34,Tariffs!W34)</f>
        <v>13176</v>
      </c>
      <c r="X15" s="141" t="s">
        <v>131</v>
      </c>
      <c r="Y15" s="140">
        <f>IF(K6=2,(IF(E13&lt;19,Z11,IF(E13&lt;37,Z12,IF(E13&lt;61,Z13,Z14)))),0)</f>
        <v>0</v>
      </c>
      <c r="Z15" s="141" t="s">
        <v>129</v>
      </c>
      <c r="AA15" s="149" t="str">
        <f>IF(Sign!E11="2018-19",LEFT(Tariffs!J36,3),LEFT(Tariffs!W36,3))</f>
        <v>805</v>
      </c>
      <c r="AB15" s="92"/>
    </row>
    <row r="16" spans="1:28" s="43" customFormat="1" ht="30" customHeight="1">
      <c r="A16" s="39"/>
      <c r="B16" s="49"/>
      <c r="C16" s="50"/>
      <c r="D16" s="70" t="s">
        <v>105</v>
      </c>
      <c r="E16" s="70" t="s">
        <v>121</v>
      </c>
      <c r="F16" s="58" t="s">
        <v>429</v>
      </c>
      <c r="G16" s="714">
        <v>20</v>
      </c>
      <c r="H16" s="714"/>
      <c r="I16" s="72">
        <v>20</v>
      </c>
      <c r="J16" s="53"/>
      <c r="K16" s="124">
        <f>IF(D16="Yes (Required)",1,2)</f>
        <v>1</v>
      </c>
      <c r="L16" s="39"/>
      <c r="M16" s="276"/>
      <c r="N16" s="634" t="s">
        <v>238</v>
      </c>
      <c r="O16" s="635"/>
      <c r="P16" s="636"/>
      <c r="Q16" s="280"/>
      <c r="R16" s="39"/>
      <c r="S16" s="39"/>
      <c r="T16" s="39"/>
      <c r="U16" s="39"/>
      <c r="V16" s="39"/>
      <c r="W16" s="39"/>
      <c r="X16" s="39"/>
      <c r="Y16" s="39"/>
      <c r="Z16" s="39"/>
      <c r="AA16" s="39"/>
      <c r="AB16" s="92"/>
    </row>
    <row r="17" spans="1:28" s="43" customFormat="1" ht="9" customHeight="1">
      <c r="A17" s="39"/>
      <c r="B17" s="49"/>
      <c r="C17" s="53"/>
      <c r="D17" s="53"/>
      <c r="E17" s="53"/>
      <c r="F17" s="53"/>
      <c r="G17" s="53"/>
      <c r="H17" s="53"/>
      <c r="I17" s="53"/>
      <c r="J17" s="53"/>
      <c r="K17" s="124">
        <f>IF(E16="Yes (Limited)",1,2)</f>
        <v>2</v>
      </c>
      <c r="L17" s="39"/>
      <c r="M17" s="276"/>
      <c r="N17" s="637"/>
      <c r="O17" s="638"/>
      <c r="P17" s="639"/>
      <c r="Q17" s="280"/>
      <c r="R17" s="39"/>
      <c r="S17" s="39"/>
      <c r="T17" s="150" t="s">
        <v>130</v>
      </c>
      <c r="U17" s="144" t="s">
        <v>29</v>
      </c>
      <c r="V17" s="144" t="s">
        <v>12</v>
      </c>
      <c r="W17" s="144" t="s">
        <v>30</v>
      </c>
      <c r="X17" s="144" t="s">
        <v>31</v>
      </c>
      <c r="Y17" s="144" t="s">
        <v>124</v>
      </c>
      <c r="Z17" s="151" t="s">
        <v>98</v>
      </c>
      <c r="AA17" s="39"/>
      <c r="AB17" s="92"/>
    </row>
    <row r="18" spans="1:28" s="43" customFormat="1" ht="21.75" customHeight="1">
      <c r="A18" s="39"/>
      <c r="B18" s="610" t="str">
        <f>'Pvt Car'!B20:J20</f>
        <v>SmartCalc… Most Reliable, Simple, Fast and Efficient - Lingachari Oriental</v>
      </c>
      <c r="C18" s="611"/>
      <c r="D18" s="611"/>
      <c r="E18" s="611"/>
      <c r="F18" s="611"/>
      <c r="G18" s="611"/>
      <c r="H18" s="611"/>
      <c r="I18" s="611"/>
      <c r="J18" s="612"/>
      <c r="K18" s="125"/>
      <c r="L18" s="39"/>
      <c r="M18" s="277"/>
      <c r="N18" s="281"/>
      <c r="O18" s="282"/>
      <c r="P18" s="287"/>
      <c r="Q18" s="283"/>
      <c r="R18" s="39"/>
      <c r="S18" s="39"/>
      <c r="T18" s="145" t="s">
        <v>139</v>
      </c>
      <c r="U18" s="146" t="s">
        <v>19</v>
      </c>
      <c r="V18" s="147">
        <f>Tariffs!$G$40</f>
        <v>1.278</v>
      </c>
      <c r="W18" s="147">
        <f>Tariffs!$H$40</f>
        <v>1.31</v>
      </c>
      <c r="X18" s="147">
        <f>Tariffs!$I$40</f>
        <v>1.342</v>
      </c>
      <c r="Y18" s="147">
        <f aca="true" t="shared" si="1" ref="Y18:Y23">IF($G$7&lt;5.01,V18,IF($G$7&lt;7.01,W18,X18))</f>
        <v>1.278</v>
      </c>
      <c r="Z18" s="152">
        <f>IF($K$13=1,Y18,IF($K$13=2,Y19,Y20))</f>
        <v>1.278</v>
      </c>
      <c r="AA18" s="74"/>
      <c r="AB18" s="92"/>
    </row>
    <row r="19" spans="1:28" s="78" customFormat="1" ht="20.25" customHeight="1">
      <c r="A19" s="75"/>
      <c r="B19" s="75"/>
      <c r="C19" s="75"/>
      <c r="D19" s="75"/>
      <c r="E19" s="75"/>
      <c r="F19" s="75"/>
      <c r="G19" s="75"/>
      <c r="H19" s="75"/>
      <c r="I19" s="75"/>
      <c r="J19" s="75"/>
      <c r="K19" s="75"/>
      <c r="L19" s="39"/>
      <c r="M19" s="39"/>
      <c r="N19" s="39">
        <f>IF(G7="",I16,IF(G7&lt;2.1,I16,IF(G7&lt;5.1,20,0)))</f>
        <v>20</v>
      </c>
      <c r="O19" s="39"/>
      <c r="P19" s="39"/>
      <c r="Q19" s="39"/>
      <c r="R19" s="39"/>
      <c r="S19" s="39"/>
      <c r="T19" s="145"/>
      <c r="U19" s="147" t="s">
        <v>20</v>
      </c>
      <c r="V19" s="147">
        <f>Tariffs!$G$41</f>
        <v>1.272</v>
      </c>
      <c r="W19" s="147">
        <f>Tariffs!$H$41</f>
        <v>1.304</v>
      </c>
      <c r="X19" s="147">
        <f>Tariffs!$I$41</f>
        <v>1.336</v>
      </c>
      <c r="Y19" s="147">
        <f t="shared" si="1"/>
        <v>1.272</v>
      </c>
      <c r="Z19" s="153">
        <f>IF(Sign!$E$11="2018-19",Tariffs!$J$40,Tariffs!$W$40)</f>
        <v>2595</v>
      </c>
      <c r="AA19" s="74"/>
      <c r="AB19" s="154"/>
    </row>
    <row r="20" spans="1:28" s="43" customFormat="1" ht="24.75" customHeight="1">
      <c r="A20" s="79"/>
      <c r="B20" s="614">
        <f ca="1">TODAY()</f>
        <v>43469</v>
      </c>
      <c r="C20" s="614"/>
      <c r="D20" s="614"/>
      <c r="E20" s="614"/>
      <c r="F20" s="614"/>
      <c r="G20" s="614"/>
      <c r="H20" s="614"/>
      <c r="I20" s="614"/>
      <c r="J20" s="614"/>
      <c r="K20" s="614"/>
      <c r="L20" s="39"/>
      <c r="M20" s="39"/>
      <c r="N20" s="39"/>
      <c r="O20" s="39"/>
      <c r="P20" s="39"/>
      <c r="Q20" s="39"/>
      <c r="R20" s="39"/>
      <c r="S20" s="39"/>
      <c r="T20" s="145"/>
      <c r="U20" s="146" t="s">
        <v>42</v>
      </c>
      <c r="V20" s="147">
        <f>Tariffs!$G$42</f>
        <v>1.26</v>
      </c>
      <c r="W20" s="147">
        <f>Tariffs!$H$42</f>
        <v>1.292</v>
      </c>
      <c r="X20" s="147">
        <f>Tariffs!$I$42</f>
        <v>1.323</v>
      </c>
      <c r="Y20" s="147">
        <f t="shared" si="1"/>
        <v>1.26</v>
      </c>
      <c r="Z20" s="153" t="str">
        <f>IF(Sign!$E$11="2018-19",LEFT(Tariffs!$J$42,4),LEFT(Tariffs!$W$42,4))</f>
        <v>1241</v>
      </c>
      <c r="AA20" s="74"/>
      <c r="AB20" s="80" t="str">
        <f>CONCATENATE(IF(E4="","Dear Sir/Madam,",E4),CHAR(10),CHAR(10),"Thank you for contacting us for obtaining Premium Details of our Co's Passenger Carrying Comm Veh Insurance Policy and we wish to furnish the details of the same, for your kind reference:")</f>
        <v>Mr. Gogulamudi Lingachari
Thank you for contacting us for obtaining Premium Details of our Co's Passenger Carrying Comm Veh Insurance Policy and we wish to furnish the details of the same, for your kind reference:</v>
      </c>
    </row>
    <row r="21" spans="1:28" s="43" customFormat="1" ht="24.75" customHeight="1">
      <c r="A21" s="79"/>
      <c r="B21" s="617" t="s">
        <v>9</v>
      </c>
      <c r="C21" s="617"/>
      <c r="D21" s="617"/>
      <c r="E21" s="617"/>
      <c r="F21" s="617"/>
      <c r="G21" s="617"/>
      <c r="H21" s="617"/>
      <c r="I21" s="617"/>
      <c r="J21" s="617"/>
      <c r="K21" s="617"/>
      <c r="L21" s="39"/>
      <c r="M21" s="39"/>
      <c r="N21" s="39"/>
      <c r="O21" s="39"/>
      <c r="P21" s="39"/>
      <c r="Q21" s="39"/>
      <c r="R21" s="39"/>
      <c r="S21" s="39"/>
      <c r="T21" s="145" t="s">
        <v>140</v>
      </c>
      <c r="U21" s="146" t="s">
        <v>19</v>
      </c>
      <c r="V21" s="147">
        <f>Tariffs!$G$43</f>
        <v>1.7850000000000001</v>
      </c>
      <c r="W21" s="147">
        <f>Tariffs!$H$43</f>
        <v>1.83</v>
      </c>
      <c r="X21" s="147">
        <f>Tariffs!$I$43</f>
        <v>1.874</v>
      </c>
      <c r="Y21" s="147">
        <f t="shared" si="1"/>
        <v>1.7850000000000001</v>
      </c>
      <c r="Z21" s="152">
        <f>IF($K$13=1,Y21,IF($K$13=2,Y22,Y23))</f>
        <v>1.7850000000000001</v>
      </c>
      <c r="AA21" s="74"/>
      <c r="AB21" s="81" t="str">
        <f>CONCATENATE(AB25,AB26,AB27,AB28,AB29,AB30,AB31,AB32,AB33,AB34,AB35,AC33,AC34,AC35)</f>
        <v>     #  Name of the Registered Owner:  Mr. Gogulamudi Lingachari
     #  Vehicle's Registration Number:  AP 09CR 4190
     #  Make and Model of the Vehicle:  Ford Classic
     #  Type of Policy/Cover Opted:  Package Policy, NDP Cover
     #  IDV (Insured's Declared Value) of Vehicle:  Rs.1081089/- 
     #  Ele / Electronic Accessories, if any:  Rs.108108/- 
     #  Non-Ele Accessories, If any:  Rs.108108/- 
     #  Cubic Capacity of the Vehicle:  1389 CC
     #  Age of Vehicle (As per RC):  2 Year(s)
     #  Zone of Registration:  Zone:  A CC
     #  Owner-Driver-PA Cover:  Opted
     #  NCB (No Clam Bonus):  20% (on Renewal of Cover)
</v>
      </c>
    </row>
    <row r="22" spans="1:28" s="43" customFormat="1" ht="24.75" customHeight="1">
      <c r="A22" s="79"/>
      <c r="B22" s="604" t="str">
        <f>Sign!F4</f>
        <v>DO-VI, Begumpet, Hyderabad - 500 016</v>
      </c>
      <c r="C22" s="604"/>
      <c r="D22" s="604"/>
      <c r="E22" s="604"/>
      <c r="F22" s="604"/>
      <c r="G22" s="604"/>
      <c r="H22" s="604"/>
      <c r="I22" s="604"/>
      <c r="J22" s="604"/>
      <c r="K22" s="604"/>
      <c r="L22" s="39"/>
      <c r="M22" s="39"/>
      <c r="N22" s="39"/>
      <c r="O22" s="39"/>
      <c r="P22" s="39"/>
      <c r="Q22" s="39"/>
      <c r="R22" s="39"/>
      <c r="S22" s="39"/>
      <c r="T22" s="145"/>
      <c r="U22" s="147" t="s">
        <v>20</v>
      </c>
      <c r="V22" s="147">
        <f>Tariffs!$G$44</f>
        <v>1.7770000000000001</v>
      </c>
      <c r="W22" s="147">
        <f>Tariffs!$H$44</f>
        <v>1.8210000000000002</v>
      </c>
      <c r="X22" s="147">
        <f>Tariffs!$I$44</f>
        <v>1.866</v>
      </c>
      <c r="Y22" s="147">
        <f t="shared" si="1"/>
        <v>1.7770000000000001</v>
      </c>
      <c r="Z22" s="153">
        <f>IF(Sign!$E$11="2018-19",Tariffs!$J$43,Tariffs!$W$43)</f>
        <v>6222</v>
      </c>
      <c r="AA22" s="74"/>
      <c r="AB22" s="80" t="str">
        <f>CONCATENATE(CHAR(10),"Premium is to paid for An Amount of Rs.",I59,"/- Inclusive of Ser Tax @ ",Sign!F15,"% towards ",IF(G16="","Issuance of ",IF(G16=0,"Issuance of ","Renewal of ")),I4," for the above Risk.",CHAR(10),CHAR(10),"Request you to arrange the above quoted premium along with the required vehicle documents, to enable us to issue the policy at the earliest.")</f>
        <v>
Premium is to paid for An Amount of Rs.55813/- Inclusive of Ser Tax @ 18% towards Renewal of Package Policy for the above Risk.
Request you to arrange the above quoted premium along with the required vehicle documents, to enable us to issue the policy at the earliest.</v>
      </c>
    </row>
    <row r="23" spans="1:28" s="43" customFormat="1" ht="20.25" customHeight="1">
      <c r="A23" s="79"/>
      <c r="B23" s="82"/>
      <c r="C23" s="678" t="str">
        <f>CONCATENATE("Premium Quotation for PCCV (Passenger Carrier) - ",I4)</f>
        <v>Premium Quotation for PCCV (Passenger Carrier) - Package Policy</v>
      </c>
      <c r="D23" s="678"/>
      <c r="E23" s="678"/>
      <c r="F23" s="678"/>
      <c r="G23" s="678"/>
      <c r="H23" s="678"/>
      <c r="I23" s="678"/>
      <c r="J23" s="678"/>
      <c r="K23" s="679"/>
      <c r="L23" s="39"/>
      <c r="M23" s="39"/>
      <c r="N23" s="39"/>
      <c r="O23" s="39"/>
      <c r="P23" s="39"/>
      <c r="Q23" s="39"/>
      <c r="R23" s="39"/>
      <c r="S23" s="39"/>
      <c r="T23" s="145"/>
      <c r="U23" s="146" t="s">
        <v>42</v>
      </c>
      <c r="V23" s="147">
        <f>Tariffs!$G$45</f>
        <v>1.759</v>
      </c>
      <c r="W23" s="147">
        <f>Tariffs!$H$45</f>
        <v>1.803</v>
      </c>
      <c r="X23" s="147">
        <f>Tariffs!$I$45</f>
        <v>1.847</v>
      </c>
      <c r="Y23" s="147">
        <f t="shared" si="1"/>
        <v>1.759</v>
      </c>
      <c r="Z23" s="153" t="str">
        <f>IF(Sign!$E$11="2018-19",LEFT(Tariffs!$J$45,4),LEFT(Tariffs!$W$45,4))</f>
        <v>1241</v>
      </c>
      <c r="AA23" s="74"/>
      <c r="AB23" s="74"/>
    </row>
    <row r="24" spans="1:28" s="43" customFormat="1" ht="7.5" customHeight="1">
      <c r="A24" s="79"/>
      <c r="B24" s="83"/>
      <c r="C24" s="84"/>
      <c r="D24" s="84"/>
      <c r="E24" s="84"/>
      <c r="F24" s="84"/>
      <c r="G24" s="84"/>
      <c r="H24" s="84"/>
      <c r="I24" s="84"/>
      <c r="J24" s="84"/>
      <c r="K24" s="85"/>
      <c r="L24" s="39"/>
      <c r="M24" s="39"/>
      <c r="N24" s="39"/>
      <c r="O24" s="39"/>
      <c r="P24" s="39"/>
      <c r="Q24" s="39"/>
      <c r="R24" s="39"/>
      <c r="S24" s="39"/>
      <c r="T24" s="39"/>
      <c r="U24" s="39"/>
      <c r="V24" s="39"/>
      <c r="W24" s="39"/>
      <c r="X24" s="39"/>
      <c r="Y24" s="39"/>
      <c r="Z24" s="39"/>
      <c r="AA24" s="74"/>
      <c r="AB24" s="86"/>
    </row>
    <row r="25" spans="1:28" s="43" customFormat="1" ht="19.5" customHeight="1">
      <c r="A25" s="75"/>
      <c r="B25" s="83"/>
      <c r="C25" s="84"/>
      <c r="D25" s="652" t="s">
        <v>462</v>
      </c>
      <c r="E25" s="652"/>
      <c r="F25" s="652"/>
      <c r="G25" s="88" t="s">
        <v>106</v>
      </c>
      <c r="H25" s="652" t="str">
        <f>E4</f>
        <v>Mr. Gogulamudi Lingachari</v>
      </c>
      <c r="I25" s="652"/>
      <c r="J25" s="89"/>
      <c r="K25" s="90"/>
      <c r="L25" s="39"/>
      <c r="M25" s="39"/>
      <c r="N25" s="39"/>
      <c r="O25" s="39"/>
      <c r="P25" s="39"/>
      <c r="Q25" s="39"/>
      <c r="R25" s="39"/>
      <c r="S25" s="39"/>
      <c r="T25" s="137" t="s">
        <v>98</v>
      </c>
      <c r="U25" s="138">
        <f>IF(K6=3,(IF(E13&lt;7,Z18,IF(E13&lt;18,Z21,U15))),Z18)</f>
        <v>1.278</v>
      </c>
      <c r="V25" s="139" t="s">
        <v>74</v>
      </c>
      <c r="W25" s="140">
        <f>IF(K6=3,(IF(E13&lt;7,Z19,IF(E13&lt;18,Z22,W15))),1685)</f>
        <v>1685</v>
      </c>
      <c r="X25" s="141" t="s">
        <v>129</v>
      </c>
      <c r="Y25" s="149" t="str">
        <f>IF(E13&lt;7,Z20,IF(E13&lt;18,Z23,AA15))</f>
        <v>1241</v>
      </c>
      <c r="Z25" s="155" t="s">
        <v>96</v>
      </c>
      <c r="AA25" s="63" t="s">
        <v>97</v>
      </c>
      <c r="AB25" s="86" t="str">
        <f>CONCATENATE("     #  ",D25,":  ",H25,CHAR(10))</f>
        <v>     #  Name of the Registered Owner:  Mr. Gogulamudi Lingachari
</v>
      </c>
    </row>
    <row r="26" spans="1:28" s="43" customFormat="1" ht="19.5" customHeight="1">
      <c r="A26" s="75"/>
      <c r="B26" s="83"/>
      <c r="C26" s="84"/>
      <c r="D26" s="652" t="s">
        <v>107</v>
      </c>
      <c r="E26" s="652"/>
      <c r="F26" s="652"/>
      <c r="G26" s="88" t="s">
        <v>106</v>
      </c>
      <c r="H26" s="652" t="str">
        <f>UPPER(E7)</f>
        <v>AP 09CR 4190</v>
      </c>
      <c r="I26" s="652"/>
      <c r="J26" s="89"/>
      <c r="K26" s="90"/>
      <c r="L26" s="39"/>
      <c r="M26" s="39"/>
      <c r="N26" s="39"/>
      <c r="O26" s="39"/>
      <c r="P26" s="39"/>
      <c r="Q26" s="39"/>
      <c r="R26" s="39"/>
      <c r="S26" s="39"/>
      <c r="T26" s="39"/>
      <c r="U26" s="39"/>
      <c r="V26" s="39"/>
      <c r="W26" s="39"/>
      <c r="X26" s="39"/>
      <c r="Y26" s="39"/>
      <c r="Z26" s="156">
        <f>IF(K11=1,Z30,IF(K11=2,(Z30*0.95),0))</f>
        <v>25</v>
      </c>
      <c r="AA26" s="156">
        <f>IF(G7&lt;1,0.45,IF(G7&lt;2,0.55,IF(G7&lt;3,0.7,0)))</f>
        <v>0.7</v>
      </c>
      <c r="AB26" s="86" t="str">
        <f>CONCATENATE("     #  ",D26,":  ",H26,CHAR(10))</f>
        <v>     #  Vehicle's Registration Number:  AP 09CR 4190
</v>
      </c>
    </row>
    <row r="27" spans="1:28" s="43" customFormat="1" ht="19.5" customHeight="1">
      <c r="A27" s="75"/>
      <c r="B27" s="83"/>
      <c r="C27" s="84"/>
      <c r="D27" s="652" t="s">
        <v>108</v>
      </c>
      <c r="E27" s="652"/>
      <c r="F27" s="652"/>
      <c r="G27" s="88" t="s">
        <v>106</v>
      </c>
      <c r="H27" s="652" t="str">
        <f>PROPER(F7)</f>
        <v>Ford Classic</v>
      </c>
      <c r="I27" s="652"/>
      <c r="J27" s="89"/>
      <c r="K27" s="90"/>
      <c r="L27" s="39"/>
      <c r="M27" s="39"/>
      <c r="N27" s="39"/>
      <c r="O27" s="39"/>
      <c r="P27" s="39"/>
      <c r="Q27" s="39"/>
      <c r="R27" s="39"/>
      <c r="S27" s="39"/>
      <c r="T27" s="157" t="s">
        <v>141</v>
      </c>
      <c r="U27" s="157" t="s">
        <v>131</v>
      </c>
      <c r="V27" s="157" t="s">
        <v>142</v>
      </c>
      <c r="W27" s="158" t="s">
        <v>143</v>
      </c>
      <c r="X27" s="158" t="s">
        <v>144</v>
      </c>
      <c r="Y27" s="39"/>
      <c r="Z27" s="159" t="str">
        <f>IF(K4=2,"Not Applicable",IF(K6=3,"Not Applicable",IF(K6=4,"Not Applicable",IF(K6=1,IF(G7&gt;10,"Not Avb","W/o Ren Disc"),IF(K6=2,IF(G7&gt;5,"Not Avb","W/o Ren Disc"))))))</f>
        <v>W/o Ren Disc</v>
      </c>
      <c r="AA27" s="159" t="str">
        <f>IF(K4=2,"Not Applicable",IF(G7&gt;2,"Not Avb","Yes"))</f>
        <v>Yes</v>
      </c>
      <c r="AB27" s="86" t="str">
        <f>CONCATENATE("     #  ",D27,":  ",H27,CHAR(10))</f>
        <v>     #  Make and Model of the Vehicle:  Ford Classic
</v>
      </c>
    </row>
    <row r="28" spans="1:28" s="43" customFormat="1" ht="19.5" customHeight="1">
      <c r="A28" s="75"/>
      <c r="B28" s="83"/>
      <c r="C28" s="84"/>
      <c r="D28" s="652" t="s">
        <v>109</v>
      </c>
      <c r="E28" s="652"/>
      <c r="F28" s="652"/>
      <c r="G28" s="88" t="s">
        <v>106</v>
      </c>
      <c r="H28" s="652" t="str">
        <f>I4</f>
        <v>Package Policy</v>
      </c>
      <c r="I28" s="652"/>
      <c r="J28" s="89"/>
      <c r="K28" s="90"/>
      <c r="L28" s="39"/>
      <c r="M28" s="39"/>
      <c r="N28" s="39"/>
      <c r="O28" s="39"/>
      <c r="P28" s="39"/>
      <c r="Q28" s="39"/>
      <c r="R28" s="39"/>
      <c r="S28" s="39"/>
      <c r="T28" s="160">
        <f>IF(K6=1,U8,IF(K6=2,U15,U25))</f>
        <v>3.448</v>
      </c>
      <c r="U28" s="161">
        <f>IF(K4=2,0,IF(K6=1,0,IF(K6=4,0,IF(K6=2,Y15,IF(K6=3,IF(E13&gt;17,Y15,0))))))</f>
        <v>0</v>
      </c>
      <c r="V28" s="161">
        <f>IF(K6=1,W8,IF(K6=2,W15,W25))</f>
        <v>7147</v>
      </c>
      <c r="W28" s="161" t="str">
        <f>IF(K6=1,Y8,IF(K6=2,AA15,IF(K6=4,806,Y25)))</f>
        <v>880</v>
      </c>
      <c r="X28" s="161">
        <f>-IF(E16="Yes (Limited)",IF(K6=3,150,IF(K6=4,150,200)),0)</f>
        <v>0</v>
      </c>
      <c r="Y28" s="39"/>
      <c r="Z28" s="159" t="str">
        <f>IF(K4=2,"Not Applicable",IF(K6=3,"Not Applicable",IF(K6=4,"Not Applicable",IF(K6=1,IF(G7&gt;10,"Not Avb","With Ren Disc"),IF(K6=2,IF(G7&gt;5,"Not Avb","With Ren Disc"))))))</f>
        <v>With Ren Disc</v>
      </c>
      <c r="AA28" s="159" t="str">
        <f>IF(K4=2,"Not Applicable",IF(G7&gt;2,"Not Avb","No"))</f>
        <v>No</v>
      </c>
      <c r="AB28" s="86" t="str">
        <f>CONCATENATE("     #  ",D28,":  ",IF(K4=2,"Liability Only",IF(K4=1,(CONCATENATE("Package Policy",IF(K11=3,"",", NDP Cover"),IF(K12=2,"",", RTI Cover"))))),CHAR(10))</f>
        <v>     #  Type of Policy/Cover Opted:  Package Policy, NDP Cover
</v>
      </c>
    </row>
    <row r="29" spans="1:28" s="43" customFormat="1" ht="19.5" customHeight="1">
      <c r="A29" s="75"/>
      <c r="B29" s="83"/>
      <c r="C29" s="84"/>
      <c r="D29" s="652" t="str">
        <f>IF(G7&lt;5.01,"IDV (Insured's Declared Value) of Vehicle","Sum Insured of Vehicle")</f>
        <v>IDV (Insured's Declared Value) of Vehicle</v>
      </c>
      <c r="E29" s="652"/>
      <c r="F29" s="652"/>
      <c r="G29" s="88" t="s">
        <v>106</v>
      </c>
      <c r="H29" s="653">
        <f>D10</f>
        <v>1081089</v>
      </c>
      <c r="I29" s="653"/>
      <c r="J29" s="89"/>
      <c r="K29" s="90"/>
      <c r="L29" s="39"/>
      <c r="M29" s="39"/>
      <c r="N29" s="39"/>
      <c r="O29" s="39"/>
      <c r="P29" s="39"/>
      <c r="Q29" s="39"/>
      <c r="R29" s="39"/>
      <c r="S29" s="39"/>
      <c r="T29" s="39"/>
      <c r="U29" s="39"/>
      <c r="V29" s="39"/>
      <c r="W29" s="39"/>
      <c r="X29" s="39"/>
      <c r="Y29" s="39"/>
      <c r="Z29" s="159" t="str">
        <f>IF(K4=2,"Not Applicable",IF(K6=3,"Not Applicable",IF(K6=4,"Not Applicable",IF(K6=1,IF(G7&gt;10,"Not Avb","No"),IF(K6=2,IF(G7&gt;5,"Not Avb","No"))))))</f>
        <v>No</v>
      </c>
      <c r="AA29" s="162"/>
      <c r="AB29" s="86" t="str">
        <f>IF(X7=2,"",(CONCATENATE("     #  ",D29,":  Rs.",H29,"/- ",CHAR(10))))</f>
        <v>     #  IDV (Insured's Declared Value) of Vehicle:  Rs.1081089/- 
</v>
      </c>
    </row>
    <row r="30" spans="1:28" s="43" customFormat="1" ht="19.5" customHeight="1">
      <c r="A30" s="75"/>
      <c r="B30" s="83"/>
      <c r="C30" s="84"/>
      <c r="D30" s="652" t="s">
        <v>110</v>
      </c>
      <c r="E30" s="652"/>
      <c r="F30" s="652"/>
      <c r="G30" s="88" t="s">
        <v>106</v>
      </c>
      <c r="H30" s="653">
        <f>E10</f>
        <v>108108</v>
      </c>
      <c r="I30" s="653"/>
      <c r="J30" s="89"/>
      <c r="K30" s="90"/>
      <c r="L30" s="39"/>
      <c r="M30" s="39"/>
      <c r="N30" s="39"/>
      <c r="O30" s="39"/>
      <c r="P30" s="39"/>
      <c r="Q30" s="39"/>
      <c r="R30" s="39"/>
      <c r="S30" s="39"/>
      <c r="T30" s="39"/>
      <c r="U30" s="39"/>
      <c r="V30" s="39"/>
      <c r="W30" s="39"/>
      <c r="X30" s="39"/>
      <c r="Y30" s="39"/>
      <c r="Z30" s="156">
        <f>IF(K4=2,0,IF(K6=4,0,IF(K6=3,IF(E13&lt;18,0),IF(K6=1,(IF(G7&lt;0.51,20,IF(G7&lt;2.01,25,IF(G7&lt;5.01,40,0)))),(IF(G7&lt;0.51,15,IF(G7&lt;2.01,25,IF(G7&lt;5.01,35,0))))))))</f>
        <v>25</v>
      </c>
      <c r="AA30" s="162">
        <f>IF(K6=4,0,IF(K6=3,IF(E13&lt;18,0),IF(K6=1,(IF(G7&lt;0.51,20,IF(G7&lt;2.01,25,IF(G7&lt;5.01,40,0)))),(IF(G7&lt;0.51,15,IF(G7&lt;2.01,25,IF(G7&lt;5.01,35,0)))))))</f>
        <v>25</v>
      </c>
      <c r="AB30" s="86" t="str">
        <f>IF(K4=2,"",IF(E10=0,"",(CONCATENATE("     #  ",D30,":  Rs.",H30,"/- ",CHAR(10)))))</f>
        <v>     #  Ele / Electronic Accessories, if any:  Rs.108108/- 
</v>
      </c>
    </row>
    <row r="31" spans="1:28" s="43" customFormat="1" ht="19.5" customHeight="1">
      <c r="A31" s="75"/>
      <c r="B31" s="83"/>
      <c r="C31" s="84"/>
      <c r="D31" s="652" t="s">
        <v>111</v>
      </c>
      <c r="E31" s="652"/>
      <c r="F31" s="652"/>
      <c r="G31" s="88" t="s">
        <v>106</v>
      </c>
      <c r="H31" s="653">
        <f>F10</f>
        <v>108108</v>
      </c>
      <c r="I31" s="653"/>
      <c r="J31" s="89"/>
      <c r="K31" s="90"/>
      <c r="L31" s="39"/>
      <c r="M31" s="39"/>
      <c r="N31" s="39"/>
      <c r="O31" s="39"/>
      <c r="P31" s="39"/>
      <c r="Q31" s="39"/>
      <c r="R31" s="39"/>
      <c r="S31" s="39"/>
      <c r="T31" s="39"/>
      <c r="U31" s="39"/>
      <c r="V31" s="39"/>
      <c r="W31" s="39"/>
      <c r="X31" s="39"/>
      <c r="Y31" s="39"/>
      <c r="Z31" s="156">
        <f>IF(K10&gt;I16,I16,K10)</f>
        <v>20</v>
      </c>
      <c r="AA31" s="74">
        <f>IF(G10="With Ren Disc",AA30*0.95,AA30)</f>
        <v>25</v>
      </c>
      <c r="AB31" s="86" t="str">
        <f>IF(K4=2,"",IF(F10=0,"",(CONCATENATE("     #  ",D31,":  Rs.",H31,"/- ",CHAR(10)))))</f>
        <v>     #  Non-Ele Accessories, If any:  Rs.108108/- 
</v>
      </c>
    </row>
    <row r="32" spans="1:28" s="43" customFormat="1" ht="19.5" customHeight="1">
      <c r="A32" s="75"/>
      <c r="B32" s="83"/>
      <c r="C32" s="84"/>
      <c r="D32" s="652" t="s">
        <v>122</v>
      </c>
      <c r="E32" s="652"/>
      <c r="F32" s="652"/>
      <c r="G32" s="88" t="s">
        <v>106</v>
      </c>
      <c r="H32" s="653">
        <f>I7</f>
        <v>0</v>
      </c>
      <c r="I32" s="653"/>
      <c r="J32" s="89"/>
      <c r="K32" s="90"/>
      <c r="L32" s="39"/>
      <c r="M32" s="39"/>
      <c r="N32" s="39"/>
      <c r="O32" s="39"/>
      <c r="P32" s="39"/>
      <c r="Q32" s="39"/>
      <c r="R32" s="39"/>
      <c r="S32" s="39"/>
      <c r="T32" s="39"/>
      <c r="U32" s="39"/>
      <c r="V32" s="39"/>
      <c r="W32" s="39"/>
      <c r="X32" s="39"/>
      <c r="Y32" s="39"/>
      <c r="Z32" s="39"/>
      <c r="AA32" s="74"/>
      <c r="AB32" s="86">
        <f>IF(K7=1,CONCATENATE("     #  ",D32,":  Rs.",H32,"/-",CHAR(10)),"")</f>
      </c>
    </row>
    <row r="33" spans="1:29" s="43" customFormat="1" ht="19.5" customHeight="1">
      <c r="A33" s="75"/>
      <c r="B33" s="83"/>
      <c r="C33" s="84"/>
      <c r="D33" s="652" t="s">
        <v>112</v>
      </c>
      <c r="E33" s="652"/>
      <c r="F33" s="652"/>
      <c r="G33" s="88" t="s">
        <v>106</v>
      </c>
      <c r="H33" s="654">
        <f>D13</f>
        <v>1389</v>
      </c>
      <c r="I33" s="654"/>
      <c r="J33" s="89"/>
      <c r="K33" s="90"/>
      <c r="L33" s="39"/>
      <c r="M33" s="39"/>
      <c r="N33" s="39"/>
      <c r="O33" s="39"/>
      <c r="P33" s="39"/>
      <c r="Q33" s="39"/>
      <c r="R33" s="39"/>
      <c r="S33" s="39"/>
      <c r="T33" s="87"/>
      <c r="U33" s="39"/>
      <c r="V33" s="39"/>
      <c r="W33" s="39"/>
      <c r="X33" s="39"/>
      <c r="Y33" s="39"/>
      <c r="Z33" s="39"/>
      <c r="AA33" s="74"/>
      <c r="AB33" s="86" t="str">
        <f>CONCATENATE("     #  ",D33,":  ",H33," CC",CHAR(10))</f>
        <v>     #  Cubic Capacity of the Vehicle:  1389 CC
</v>
      </c>
      <c r="AC33" s="91" t="str">
        <f>IF(K16=2,"",CONCATENATE("     #  Owner-Driver-PA Cover:  Opted",CHAR(10)))</f>
        <v>     #  Owner-Driver-PA Cover:  Opted
</v>
      </c>
    </row>
    <row r="34" spans="1:29" s="43" customFormat="1" ht="19.5" customHeight="1">
      <c r="A34" s="75"/>
      <c r="B34" s="83"/>
      <c r="C34" s="84"/>
      <c r="D34" s="652" t="s">
        <v>113</v>
      </c>
      <c r="E34" s="652"/>
      <c r="F34" s="652"/>
      <c r="G34" s="88" t="s">
        <v>106</v>
      </c>
      <c r="H34" s="655">
        <f>IF(G7&lt;0.51,"New Vehicle",G7)</f>
        <v>2</v>
      </c>
      <c r="I34" s="655"/>
      <c r="J34" s="89"/>
      <c r="K34" s="90"/>
      <c r="L34" s="39"/>
      <c r="M34" s="39"/>
      <c r="N34" s="39"/>
      <c r="O34" s="39"/>
      <c r="P34" s="39"/>
      <c r="Q34" s="39"/>
      <c r="R34" s="39"/>
      <c r="S34" s="39"/>
      <c r="T34" s="39"/>
      <c r="U34" s="39"/>
      <c r="V34" s="39"/>
      <c r="W34" s="39"/>
      <c r="X34" s="39"/>
      <c r="Y34" s="39"/>
      <c r="Z34" s="39"/>
      <c r="AA34" s="74"/>
      <c r="AB34" s="86" t="str">
        <f>CONCATENATE("     #  ",D34,":  ",(IF(H34="","New Vehicle",H34))," Year(s)",CHAR(10))</f>
        <v>     #  Age of Vehicle (As per RC):  2 Year(s)
</v>
      </c>
      <c r="AC34" s="91">
        <f>IF(K17=2,"",CONCATENATE("     #  Limited TPPD Cover:  Opted, Hence Deleted",CHAR(10)))</f>
      </c>
    </row>
    <row r="35" spans="1:29" s="43" customFormat="1" ht="19.5" customHeight="1">
      <c r="A35" s="75"/>
      <c r="B35" s="83"/>
      <c r="C35" s="84"/>
      <c r="D35" s="652" t="s">
        <v>114</v>
      </c>
      <c r="E35" s="652"/>
      <c r="F35" s="652"/>
      <c r="G35" s="88" t="s">
        <v>106</v>
      </c>
      <c r="H35" s="652" t="str">
        <f>F13</f>
        <v>Zone:  A</v>
      </c>
      <c r="I35" s="652"/>
      <c r="J35" s="89"/>
      <c r="K35" s="90"/>
      <c r="L35" s="39"/>
      <c r="M35" s="39"/>
      <c r="N35" s="39"/>
      <c r="O35" s="39"/>
      <c r="P35" s="39"/>
      <c r="Q35" s="39"/>
      <c r="R35" s="39"/>
      <c r="S35" s="39"/>
      <c r="T35" s="39"/>
      <c r="U35" s="39"/>
      <c r="V35" s="39"/>
      <c r="W35" s="39"/>
      <c r="X35" s="39"/>
      <c r="Y35" s="39"/>
      <c r="Z35" s="39"/>
      <c r="AA35" s="91">
        <f>AA37+AA40</f>
        <v>41003.512559999996</v>
      </c>
      <c r="AB35" s="86" t="str">
        <f>CONCATENATE("     #  ",D35,":  ",H35," CC",CHAR(10))</f>
        <v>     #  Zone of Registration:  Zone:  A CC
</v>
      </c>
      <c r="AC35" s="91" t="str">
        <f>IF(G16=0,"",IF(G16="","",CONCATENATE("     #  NCB (No Clam Bonus):  ",G16,"% (on Renewal of Cover)",CHAR(10))))</f>
        <v>     #  NCB (No Clam Bonus):  20% (on Renewal of Cover)
</v>
      </c>
    </row>
    <row r="36" spans="1:31" s="43" customFormat="1" ht="19.5" customHeight="1">
      <c r="A36" s="75"/>
      <c r="B36" s="83"/>
      <c r="C36" s="84"/>
      <c r="D36" s="656" t="s">
        <v>115</v>
      </c>
      <c r="E36" s="656"/>
      <c r="F36" s="656"/>
      <c r="G36" s="656"/>
      <c r="H36" s="656"/>
      <c r="I36" s="656"/>
      <c r="J36" s="84"/>
      <c r="K36" s="90"/>
      <c r="L36" s="39"/>
      <c r="M36" s="39"/>
      <c r="N36" s="39"/>
      <c r="O36" s="39"/>
      <c r="P36" s="39"/>
      <c r="Q36" s="39"/>
      <c r="R36" s="39"/>
      <c r="S36" s="39"/>
      <c r="T36" s="39"/>
      <c r="U36" s="39"/>
      <c r="V36" s="39"/>
      <c r="W36" s="39"/>
      <c r="X36" s="39"/>
      <c r="Y36" s="39"/>
      <c r="Z36" s="296" t="s">
        <v>236</v>
      </c>
      <c r="AA36" s="296" t="s">
        <v>216</v>
      </c>
      <c r="AB36" s="296" t="s">
        <v>97</v>
      </c>
      <c r="AC36" s="296" t="s">
        <v>96</v>
      </c>
      <c r="AD36" s="296" t="s">
        <v>217</v>
      </c>
      <c r="AE36" s="296" t="s">
        <v>218</v>
      </c>
    </row>
    <row r="37" spans="1:31" s="43" customFormat="1" ht="19.5" customHeight="1">
      <c r="A37" s="75"/>
      <c r="B37" s="83"/>
      <c r="C37" s="84"/>
      <c r="D37" s="657" t="str">
        <f>IF(U37&lt;24,"Basic OD Premium",(VLOOKUP(U37,$V$37:$X$48,3,0)))</f>
        <v>Basic OD Prem @ 3.448 % on Veh Value</v>
      </c>
      <c r="E37" s="657"/>
      <c r="F37" s="657"/>
      <c r="G37" s="657"/>
      <c r="H37" s="93" t="str">
        <f>IF(D37="","",":")</f>
        <v>:</v>
      </c>
      <c r="I37" s="94">
        <f>IF(U37&lt;24,0,VLOOKUP(U37,$V$37:$X$48,2,0))</f>
        <v>37275.94871999999</v>
      </c>
      <c r="J37" s="84"/>
      <c r="K37" s="90"/>
      <c r="L37" s="39"/>
      <c r="M37" s="39"/>
      <c r="N37" s="39"/>
      <c r="O37" s="39"/>
      <c r="P37" s="39"/>
      <c r="Q37" s="39"/>
      <c r="R37" s="39"/>
      <c r="S37" s="95">
        <v>1</v>
      </c>
      <c r="T37" s="96">
        <f aca="true" t="shared" si="2" ref="T37:T48">IF(W37=0,S37,V37)</f>
        <v>40</v>
      </c>
      <c r="U37" s="96">
        <f>LARGE($T$37:$T$48,ROWS(T$37:T37))</f>
        <v>40</v>
      </c>
      <c r="V37" s="96">
        <v>40</v>
      </c>
      <c r="W37" s="163">
        <f>IF($K$4=1,($D$10*$T$28%),0)</f>
        <v>37275.94871999999</v>
      </c>
      <c r="X37" s="99" t="str">
        <f>IF(W37=0,"Basic OD Premium",CONCATENATE("Basic OD Prem @ ",T28," % on Veh Value"))</f>
        <v>Basic OD Prem @ 3.448 % on Veh Value</v>
      </c>
      <c r="Y37" s="87"/>
      <c r="Z37" s="298" t="s">
        <v>141</v>
      </c>
      <c r="AA37" s="163">
        <f>($D$10*$T$28%)</f>
        <v>37275.94871999999</v>
      </c>
      <c r="AB37" s="163">
        <f>($D$10*$T$28%)</f>
        <v>37275.94871999999</v>
      </c>
      <c r="AC37" s="163">
        <f>($D$10*$T$28%)</f>
        <v>37275.94871999999</v>
      </c>
      <c r="AD37" s="163">
        <f>($D$10*$T$28%)</f>
        <v>37275.94871999999</v>
      </c>
      <c r="AE37" s="163"/>
    </row>
    <row r="38" spans="1:31" s="43" customFormat="1" ht="19.5" customHeight="1">
      <c r="A38" s="75"/>
      <c r="B38" s="83"/>
      <c r="C38" s="84"/>
      <c r="D38" s="657" t="str">
        <f aca="true" t="shared" si="3" ref="D38:D48">IF(U38&lt;24,"",(VLOOKUP(U38,$V$37:$X$48,3,0)))</f>
        <v>Add: Prem @ 4% for Ele Accessories' Value</v>
      </c>
      <c r="E38" s="657"/>
      <c r="F38" s="657"/>
      <c r="G38" s="657"/>
      <c r="H38" s="93" t="str">
        <f>IF(D38="","",":")</f>
        <v>:</v>
      </c>
      <c r="I38" s="94">
        <f aca="true" t="shared" si="4" ref="I38:I48">IF(U38&lt;24,"",VLOOKUP(U38,$V$37:$X$48,2,0))</f>
        <v>4324.32</v>
      </c>
      <c r="J38" s="84"/>
      <c r="K38" s="90"/>
      <c r="L38" s="39"/>
      <c r="M38" s="39"/>
      <c r="N38" s="39"/>
      <c r="O38" s="39"/>
      <c r="P38" s="39"/>
      <c r="Q38" s="39"/>
      <c r="R38" s="39"/>
      <c r="S38" s="95">
        <f>S37+1</f>
        <v>2</v>
      </c>
      <c r="T38" s="96">
        <f t="shared" si="2"/>
        <v>2</v>
      </c>
      <c r="U38" s="96">
        <f>LARGE($T$37:$T$48,ROWS(T$37:T38))</f>
        <v>38</v>
      </c>
      <c r="V38" s="96">
        <f>V37-1</f>
        <v>39</v>
      </c>
      <c r="W38" s="164">
        <f>IF($K$4=1,$U$28,0)</f>
        <v>0</v>
      </c>
      <c r="X38" s="99">
        <f>IF(W38=0,"","Add: Basic OD Slab Rate")</f>
      </c>
      <c r="Y38" s="87"/>
      <c r="Z38" s="298" t="s">
        <v>131</v>
      </c>
      <c r="AA38" s="164">
        <f>$U$28</f>
        <v>0</v>
      </c>
      <c r="AB38" s="164">
        <f>$U$28</f>
        <v>0</v>
      </c>
      <c r="AC38" s="164">
        <f>$U$28</f>
        <v>0</v>
      </c>
      <c r="AD38" s="164">
        <f>$U$28</f>
        <v>0</v>
      </c>
      <c r="AE38" s="164"/>
    </row>
    <row r="39" spans="1:31" s="43" customFormat="1" ht="19.5" customHeight="1">
      <c r="A39" s="75"/>
      <c r="B39" s="83"/>
      <c r="C39" s="84"/>
      <c r="D39" s="657" t="str">
        <f t="shared" si="3"/>
        <v>Add: Prem @ 3.448% on Non-Ele Accs' Value</v>
      </c>
      <c r="E39" s="657"/>
      <c r="F39" s="657"/>
      <c r="G39" s="657"/>
      <c r="H39" s="93" t="str">
        <f aca="true" t="shared" si="5" ref="H39:H50">IF(D39="","",":")</f>
        <v>:</v>
      </c>
      <c r="I39" s="94">
        <f t="shared" si="4"/>
        <v>3727.56384</v>
      </c>
      <c r="J39" s="84"/>
      <c r="K39" s="90"/>
      <c r="L39" s="39"/>
      <c r="M39" s="39"/>
      <c r="N39" s="39"/>
      <c r="O39" s="39"/>
      <c r="P39" s="39"/>
      <c r="Q39" s="39"/>
      <c r="R39" s="39"/>
      <c r="S39" s="95">
        <f aca="true" t="shared" si="6" ref="S39:S48">S38+1</f>
        <v>3</v>
      </c>
      <c r="T39" s="96">
        <f t="shared" si="2"/>
        <v>38</v>
      </c>
      <c r="U39" s="96">
        <f>LARGE($T$37:$T$48,ROWS(T$37:T39))</f>
        <v>37</v>
      </c>
      <c r="V39" s="96">
        <f aca="true" t="shared" si="7" ref="V39:V48">V38-1</f>
        <v>38</v>
      </c>
      <c r="W39" s="164">
        <f>IF($W$37=0,0,$E$10*4%)</f>
        <v>4324.32</v>
      </c>
      <c r="X39" s="99" t="str">
        <f>IF(W39=0,"","Add: Prem @ 4% for Ele Accessories' Value")</f>
        <v>Add: Prem @ 4% for Ele Accessories' Value</v>
      </c>
      <c r="Y39" s="87"/>
      <c r="Z39" s="298" t="s">
        <v>220</v>
      </c>
      <c r="AA39" s="164">
        <f>IF($AA$37=0,0,$E$10*4%)</f>
        <v>4324.32</v>
      </c>
      <c r="AB39" s="164">
        <f>IF($AB$37=0,0,$E$10*4%)</f>
        <v>4324.32</v>
      </c>
      <c r="AC39" s="164">
        <f>IF($AC$37=0,0,$E$10*4%)</f>
        <v>4324.32</v>
      </c>
      <c r="AD39" s="164">
        <f>IF($AD$37=0,0,$E$10*4%)</f>
        <v>4324.32</v>
      </c>
      <c r="AE39" s="164"/>
    </row>
    <row r="40" spans="1:31" s="43" customFormat="1" ht="19.5" customHeight="1">
      <c r="A40" s="75"/>
      <c r="B40" s="83"/>
      <c r="C40" s="84"/>
      <c r="D40" s="657" t="str">
        <f t="shared" si="3"/>
        <v>Less: U/w (De-Tariff) Discount @ 20%</v>
      </c>
      <c r="E40" s="657"/>
      <c r="F40" s="657"/>
      <c r="G40" s="657"/>
      <c r="H40" s="93" t="str">
        <f t="shared" si="5"/>
        <v>:</v>
      </c>
      <c r="I40" s="94">
        <f t="shared" si="4"/>
        <v>-9066</v>
      </c>
      <c r="J40" s="84"/>
      <c r="K40" s="90"/>
      <c r="L40" s="39"/>
      <c r="M40" s="39"/>
      <c r="N40" s="39"/>
      <c r="O40" s="39"/>
      <c r="P40" s="39"/>
      <c r="Q40" s="39"/>
      <c r="R40" s="39"/>
      <c r="S40" s="95">
        <f t="shared" si="6"/>
        <v>4</v>
      </c>
      <c r="T40" s="96">
        <f t="shared" si="2"/>
        <v>37</v>
      </c>
      <c r="U40" s="96">
        <f>LARGE($T$37:$T$48,ROWS(T$37:T40))</f>
        <v>34</v>
      </c>
      <c r="V40" s="96">
        <f t="shared" si="7"/>
        <v>37</v>
      </c>
      <c r="W40" s="164">
        <f>IF($W$37=0,0,$F$10*$T$28%)</f>
        <v>3727.56384</v>
      </c>
      <c r="X40" s="99" t="str">
        <f>IF(W40=0,"",CONCATENATE("Add: Prem @ ",T28,"% on Non-Ele Accs' Value"))</f>
        <v>Add: Prem @ 3.448% on Non-Ele Accs' Value</v>
      </c>
      <c r="Y40" s="87"/>
      <c r="Z40" s="298" t="s">
        <v>221</v>
      </c>
      <c r="AA40" s="164">
        <f>IF($AA$37=0,0,$F$10*$T$28%)</f>
        <v>3727.56384</v>
      </c>
      <c r="AB40" s="164">
        <f>IF($AB$37=0,0,$F$10*$T$28%)</f>
        <v>3727.56384</v>
      </c>
      <c r="AC40" s="164">
        <f>IF($AC$37=0,0,$F$10*$T$28%)</f>
        <v>3727.56384</v>
      </c>
      <c r="AD40" s="164">
        <f>IF($AD$37=0,0,$F$10*$T$28%)</f>
        <v>3727.56384</v>
      </c>
      <c r="AE40" s="164"/>
    </row>
    <row r="41" spans="1:31" s="43" customFormat="1" ht="19.5" customHeight="1">
      <c r="A41" s="75"/>
      <c r="B41" s="83"/>
      <c r="C41" s="84"/>
      <c r="D41" s="657" t="str">
        <f t="shared" si="3"/>
        <v>Add: NDP (Nill Dipp Prem) @ 25%</v>
      </c>
      <c r="E41" s="657"/>
      <c r="F41" s="657"/>
      <c r="G41" s="657"/>
      <c r="H41" s="93" t="str">
        <f t="shared" si="5"/>
        <v>:</v>
      </c>
      <c r="I41" s="94">
        <f t="shared" si="4"/>
        <v>11331.96</v>
      </c>
      <c r="J41" s="84"/>
      <c r="K41" s="90"/>
      <c r="L41" s="39"/>
      <c r="M41" s="39"/>
      <c r="N41" s="39"/>
      <c r="O41" s="39"/>
      <c r="P41" s="39"/>
      <c r="Q41" s="39"/>
      <c r="R41" s="39"/>
      <c r="S41" s="95">
        <f t="shared" si="6"/>
        <v>5</v>
      </c>
      <c r="T41" s="96">
        <f t="shared" si="2"/>
        <v>5</v>
      </c>
      <c r="U41" s="96">
        <f>LARGE($T$37:$T$48,ROWS(T$37:T41))</f>
        <v>33</v>
      </c>
      <c r="V41" s="96">
        <f t="shared" si="7"/>
        <v>36</v>
      </c>
      <c r="W41" s="164">
        <f>ROUND(IF($W$37=0,0,IF($K$6=1,0,IF($K$15=1,SUM($W$37:$W$40,$W$42)*0.15))),2)</f>
        <v>0</v>
      </c>
      <c r="X41" s="99">
        <f>IF(W41=0,"",CONCATENATE("Add: IMT 23 (Coverage for IMT 21 Exclusions)"))</f>
      </c>
      <c r="Y41" s="87"/>
      <c r="Z41" s="298" t="s">
        <v>222</v>
      </c>
      <c r="AA41" s="164">
        <f>ROUND(IF($AA$37=0,0,IF($K$6=1,0,SUM($AA$37:$AA$40,$AA$42)*0.15)),2)</f>
        <v>0</v>
      </c>
      <c r="AB41" s="164">
        <f>ROUND(IF($AB$37=0,0,IF($K$6=1,0,SUM($AB$37:$AB$40,$AB$42)*0.15)),2)</f>
        <v>0</v>
      </c>
      <c r="AC41" s="164">
        <f>ROUND(IF($AC$37=0,0,IF($K$6=1,0,SUM($AC$37:$AC$40,$AC$42)*0.15)),2)</f>
        <v>0</v>
      </c>
      <c r="AD41" s="164">
        <f>ROUND(IF($AD$37=0,0,IF($K$6=1,0,SUM($AD$37:$AD$40,$AD$42)*0.15)),2)</f>
        <v>0</v>
      </c>
      <c r="AE41" s="164"/>
    </row>
    <row r="42" spans="1:31" s="43" customFormat="1" ht="19.5" customHeight="1">
      <c r="A42" s="75"/>
      <c r="B42" s="83"/>
      <c r="C42" s="84"/>
      <c r="D42" s="657" t="str">
        <f t="shared" si="3"/>
        <v>Less: Discount on Add-on-Covers (ACD) @ 20%</v>
      </c>
      <c r="E42" s="657"/>
      <c r="F42" s="657"/>
      <c r="G42" s="657"/>
      <c r="H42" s="93" t="str">
        <f t="shared" si="5"/>
        <v>:</v>
      </c>
      <c r="I42" s="94">
        <f t="shared" si="4"/>
        <v>-2266</v>
      </c>
      <c r="J42" s="84"/>
      <c r="K42" s="90"/>
      <c r="L42" s="39"/>
      <c r="M42" s="39"/>
      <c r="N42" s="39"/>
      <c r="O42" s="39"/>
      <c r="P42" s="39"/>
      <c r="Q42" s="39"/>
      <c r="R42" s="39"/>
      <c r="S42" s="95">
        <f t="shared" si="6"/>
        <v>6</v>
      </c>
      <c r="T42" s="96">
        <f t="shared" si="2"/>
        <v>6</v>
      </c>
      <c r="U42" s="96">
        <f>LARGE($T$37:$T$48,ROWS(T$37:T42))</f>
        <v>31</v>
      </c>
      <c r="V42" s="96">
        <f t="shared" si="7"/>
        <v>35</v>
      </c>
      <c r="W42" s="164">
        <f>IF($W$37=0,0,IF($K$7=2,0,$I$7*4%))</f>
        <v>0</v>
      </c>
      <c r="X42" s="99">
        <f>IF(W42=0,"",CONCATENATE("Add: Prem @ 4% on Value of CNG/LPG Kit"))</f>
      </c>
      <c r="Y42" s="87"/>
      <c r="Z42" s="298" t="s">
        <v>230</v>
      </c>
      <c r="AA42" s="164">
        <f>IF($AA$37=0,0,IF($K$7=2,0,$I$7*4%))</f>
        <v>0</v>
      </c>
      <c r="AB42" s="164">
        <f>IF($AB$37=0,0,IF($K$7=2,0,$I$7*4%))</f>
        <v>0</v>
      </c>
      <c r="AC42" s="164">
        <f>IF($AC$37=0,0,IF($K$7=2,0,$I$7*4%))</f>
        <v>0</v>
      </c>
      <c r="AD42" s="164">
        <f>IF($AD$37=0,0,IF($K$7=2,0,$I$7*4%))</f>
        <v>0</v>
      </c>
      <c r="AE42" s="164"/>
    </row>
    <row r="43" spans="1:31" s="43" customFormat="1" ht="19.5" customHeight="1">
      <c r="A43" s="75"/>
      <c r="B43" s="83"/>
      <c r="C43" s="84"/>
      <c r="D43" s="657" t="str">
        <f t="shared" si="3"/>
        <v>Less: NCB @ 20% (Subject to No Claim)</v>
      </c>
      <c r="E43" s="657"/>
      <c r="F43" s="657"/>
      <c r="G43" s="657"/>
      <c r="H43" s="93" t="str">
        <f t="shared" si="5"/>
        <v>:</v>
      </c>
      <c r="I43" s="94">
        <f t="shared" si="4"/>
        <v>-9065.56</v>
      </c>
      <c r="J43" s="84"/>
      <c r="K43" s="90"/>
      <c r="L43" s="39"/>
      <c r="M43" s="39"/>
      <c r="N43" s="39"/>
      <c r="O43" s="39"/>
      <c r="P43" s="39"/>
      <c r="Q43" s="39"/>
      <c r="R43" s="39"/>
      <c r="S43" s="95">
        <f t="shared" si="6"/>
        <v>7</v>
      </c>
      <c r="T43" s="96">
        <f t="shared" si="2"/>
        <v>34</v>
      </c>
      <c r="U43" s="96">
        <f>LARGE($T$37:$T$48,ROWS(T$37:T43))</f>
        <v>29</v>
      </c>
      <c r="V43" s="96">
        <f t="shared" si="7"/>
        <v>34</v>
      </c>
      <c r="W43" s="164">
        <f>-ROUND(SUM($W$37:$W$42)*$I$16%,0)</f>
        <v>-9066</v>
      </c>
      <c r="X43" s="99" t="str">
        <f>IF(W43=0,"",(CONCATENATE("Less: U/w (De-Tariff) Discount @ ",I16,"%")))</f>
        <v>Less: U/w (De-Tariff) Discount @ 20%</v>
      </c>
      <c r="Y43" s="87"/>
      <c r="Z43" s="298" t="s">
        <v>223</v>
      </c>
      <c r="AA43" s="164">
        <f>-ROUND(SUM($AA$37:$AA$42)*$I$16%,0)</f>
        <v>-9066</v>
      </c>
      <c r="AB43" s="164">
        <f>-ROUND(SUM($AB$37:$AB$42)*$I$16%,0)</f>
        <v>-9066</v>
      </c>
      <c r="AC43" s="164">
        <f>-ROUND(SUM($AC$37:$AC$42)*$I$16%,0)</f>
        <v>-9066</v>
      </c>
      <c r="AD43" s="164">
        <f>-ROUND(SUM($AD$37:$AD$42)*$I$16%,0)</f>
        <v>-9066</v>
      </c>
      <c r="AE43" s="164"/>
    </row>
    <row r="44" spans="1:31" s="43" customFormat="1" ht="19.5" customHeight="1">
      <c r="A44" s="75"/>
      <c r="B44" s="83"/>
      <c r="C44" s="84"/>
      <c r="D44" s="657">
        <f t="shared" si="3"/>
      </c>
      <c r="E44" s="657"/>
      <c r="F44" s="657"/>
      <c r="G44" s="657"/>
      <c r="H44" s="93">
        <f t="shared" si="5"/>
      </c>
      <c r="I44" s="94">
        <f t="shared" si="4"/>
      </c>
      <c r="J44" s="84"/>
      <c r="K44" s="90"/>
      <c r="L44" s="39"/>
      <c r="M44" s="39"/>
      <c r="N44" s="39"/>
      <c r="O44" s="39"/>
      <c r="P44" s="39"/>
      <c r="Q44" s="39"/>
      <c r="R44" s="39"/>
      <c r="S44" s="95">
        <f t="shared" si="6"/>
        <v>8</v>
      </c>
      <c r="T44" s="96">
        <f t="shared" si="2"/>
        <v>33</v>
      </c>
      <c r="U44" s="96">
        <f>LARGE($T$37:$T$48,ROWS(T$37:T44))</f>
        <v>11</v>
      </c>
      <c r="V44" s="96">
        <f t="shared" si="7"/>
        <v>33</v>
      </c>
      <c r="W44" s="164">
        <f>ROUND(SUM($W$37:$W$42,-$W$41)*$Z$26%,2)</f>
        <v>11331.96</v>
      </c>
      <c r="X44" s="99" t="str">
        <f>IF(W44=0,"",(CONCATENATE("Add: NDP (Nill Dipp Prem) @ ",Z30,"%")))</f>
        <v>Add: NDP (Nill Dipp Prem) @ 25%</v>
      </c>
      <c r="Y44" s="87"/>
      <c r="Z44" s="298" t="s">
        <v>96</v>
      </c>
      <c r="AA44" s="164">
        <f>ROUND(SUM($AA$37:$AA$42,-$AA$41)*$AA$31%,2)</f>
        <v>11331.96</v>
      </c>
      <c r="AB44" s="164"/>
      <c r="AC44" s="164">
        <f>ROUND(SUM($AC$37:$AC$42,-$AC$41)*$AA$31%,2)</f>
        <v>11331.96</v>
      </c>
      <c r="AD44" s="164"/>
      <c r="AE44" s="164"/>
    </row>
    <row r="45" spans="1:31" s="43" customFormat="1" ht="19.5" customHeight="1">
      <c r="A45" s="75"/>
      <c r="B45" s="83"/>
      <c r="C45" s="84"/>
      <c r="D45" s="657">
        <f t="shared" si="3"/>
      </c>
      <c r="E45" s="657"/>
      <c r="F45" s="657"/>
      <c r="G45" s="657"/>
      <c r="H45" s="93">
        <f t="shared" si="5"/>
      </c>
      <c r="I45" s="94">
        <f t="shared" si="4"/>
      </c>
      <c r="J45" s="84"/>
      <c r="K45" s="90"/>
      <c r="L45" s="39"/>
      <c r="M45" s="39"/>
      <c r="N45" s="39"/>
      <c r="O45" s="39"/>
      <c r="P45" s="39"/>
      <c r="Q45" s="39"/>
      <c r="R45" s="39"/>
      <c r="S45" s="95">
        <f t="shared" si="6"/>
        <v>9</v>
      </c>
      <c r="T45" s="96">
        <f t="shared" si="2"/>
        <v>9</v>
      </c>
      <c r="U45" s="96">
        <f>LARGE($T$37:$T$48,ROWS(T$37:T45))</f>
        <v>9</v>
      </c>
      <c r="V45" s="96">
        <f t="shared" si="7"/>
        <v>32</v>
      </c>
      <c r="W45" s="164">
        <f>ROUND(IF($I$10="Yes",($D$10+$F$10)*$AA$26%,0),0)</f>
        <v>0</v>
      </c>
      <c r="X45" s="99">
        <f>IF(W45=0,"",(CONCATENATE("Add: RTI Prem (Return Invoice Price) @ ",AA26,"%")))</f>
      </c>
      <c r="Y45" s="87"/>
      <c r="Z45" s="298" t="s">
        <v>97</v>
      </c>
      <c r="AA45" s="164">
        <f>ROUND(($D$10+$F$10)*$AA$26%,0)</f>
        <v>8324</v>
      </c>
      <c r="AB45" s="164">
        <f>ROUND(($D$10+$F$10)*$AA$26%,0)</f>
        <v>8324</v>
      </c>
      <c r="AC45" s="164"/>
      <c r="AD45" s="164"/>
      <c r="AE45" s="164"/>
    </row>
    <row r="46" spans="1:31" s="43" customFormat="1" ht="19.5" customHeight="1">
      <c r="A46" s="75"/>
      <c r="B46" s="83"/>
      <c r="C46" s="84"/>
      <c r="D46" s="657">
        <f t="shared" si="3"/>
      </c>
      <c r="E46" s="657"/>
      <c r="F46" s="657"/>
      <c r="G46" s="657"/>
      <c r="H46" s="93">
        <f t="shared" si="5"/>
      </c>
      <c r="I46" s="94">
        <f t="shared" si="4"/>
      </c>
      <c r="J46" s="84"/>
      <c r="K46" s="90"/>
      <c r="L46" s="39"/>
      <c r="M46" s="39"/>
      <c r="N46" s="39"/>
      <c r="O46" s="39"/>
      <c r="P46" s="39"/>
      <c r="Q46" s="39"/>
      <c r="R46" s="39"/>
      <c r="S46" s="95">
        <f t="shared" si="6"/>
        <v>10</v>
      </c>
      <c r="T46" s="96">
        <f t="shared" si="2"/>
        <v>31</v>
      </c>
      <c r="U46" s="96">
        <f>LARGE($T$37:$T$48,ROWS(T$37:T46))</f>
        <v>6</v>
      </c>
      <c r="V46" s="96">
        <f t="shared" si="7"/>
        <v>31</v>
      </c>
      <c r="W46" s="164">
        <f>-ROUND(($W$44+$W$45)*$Z$31%,0)</f>
        <v>-2266</v>
      </c>
      <c r="X46" s="99" t="str">
        <f>IF(W46=0,"",(CONCATENATE("Less: Discount on Add-on-Covers (ACD) @ ",Z31,"%")))</f>
        <v>Less: Discount on Add-on-Covers (ACD) @ 20%</v>
      </c>
      <c r="Y46" s="87"/>
      <c r="Z46" s="298" t="s">
        <v>94</v>
      </c>
      <c r="AA46" s="164">
        <f>-ROUND(($AA$44+$AA$45)*$Z$31%,0)</f>
        <v>-3931</v>
      </c>
      <c r="AB46" s="164">
        <f>-ROUND(($AB$44+$AB$45)*$Z$31%,0)</f>
        <v>-1665</v>
      </c>
      <c r="AC46" s="164">
        <f>-ROUND(($AC$44+$AC$45)*$Z$31%,0)</f>
        <v>-2266</v>
      </c>
      <c r="AD46" s="164"/>
      <c r="AE46" s="164"/>
    </row>
    <row r="47" spans="1:31" s="43" customFormat="1" ht="19.5" customHeight="1">
      <c r="A47" s="75"/>
      <c r="B47" s="83"/>
      <c r="C47" s="84"/>
      <c r="D47" s="657">
        <f t="shared" si="3"/>
      </c>
      <c r="E47" s="657"/>
      <c r="F47" s="657"/>
      <c r="G47" s="657"/>
      <c r="H47" s="93">
        <f t="shared" si="5"/>
      </c>
      <c r="I47" s="94">
        <f t="shared" si="4"/>
      </c>
      <c r="J47" s="84"/>
      <c r="K47" s="90"/>
      <c r="L47" s="39"/>
      <c r="M47" s="39"/>
      <c r="N47" s="110"/>
      <c r="O47" s="110"/>
      <c r="P47" s="110"/>
      <c r="Q47" s="110"/>
      <c r="R47" s="39"/>
      <c r="S47" s="95">
        <f t="shared" si="6"/>
        <v>11</v>
      </c>
      <c r="T47" s="96">
        <f t="shared" si="2"/>
        <v>11</v>
      </c>
      <c r="U47" s="96">
        <f>LARGE($T$37:$T$48,ROWS(T$37:T47))</f>
        <v>5</v>
      </c>
      <c r="V47" s="96">
        <f t="shared" si="7"/>
        <v>30</v>
      </c>
      <c r="W47" s="164">
        <f>-MIN(ROUND(IF($F$16="YES",((SUM($W$37:$W$40,$W$42,$W$43))*2.5%),0),2),500)</f>
        <v>0</v>
      </c>
      <c r="X47" s="99">
        <f>IF(W47=0,"",(CONCATENATE("Less: Discount for Anti Theft Devices")))</f>
      </c>
      <c r="Y47" s="87"/>
      <c r="Z47" s="298" t="s">
        <v>224</v>
      </c>
      <c r="AA47" s="164">
        <f>-MIN(ROUND(IF($F$16="YES",((SUM($AA$37:$AA$40,$AA$42,$AA$43))*2.5%),0),2),500)</f>
        <v>0</v>
      </c>
      <c r="AB47" s="164">
        <f>-MIN(ROUND(IF($F$16="YES",((SUM($AB$37:$AB$40,$AB$42,$AB$43))*2.5%),0),2),500)</f>
        <v>0</v>
      </c>
      <c r="AC47" s="164">
        <f>-MIN(ROUND(IF($F$16="YES",((SUM($AC$37:$AC$40,$AC$42,$AC$43))*2.5%),0),2),500)</f>
        <v>0</v>
      </c>
      <c r="AD47" s="164">
        <f>-MIN(ROUND(IF($F$16="YES",((SUM($AD$37:$AD$40,$AD$42,$AD$43))*2.5%),0),2),500)</f>
        <v>0</v>
      </c>
      <c r="AE47" s="164"/>
    </row>
    <row r="48" spans="1:31" s="43" customFormat="1" ht="19.5" customHeight="1">
      <c r="A48" s="75"/>
      <c r="B48" s="83"/>
      <c r="C48" s="84"/>
      <c r="D48" s="657">
        <f t="shared" si="3"/>
      </c>
      <c r="E48" s="657"/>
      <c r="F48" s="657"/>
      <c r="G48" s="657"/>
      <c r="H48" s="93">
        <f t="shared" si="5"/>
      </c>
      <c r="I48" s="94">
        <f t="shared" si="4"/>
      </c>
      <c r="J48" s="84"/>
      <c r="K48" s="90"/>
      <c r="L48" s="39"/>
      <c r="M48" s="39"/>
      <c r="N48" s="110"/>
      <c r="O48" s="110"/>
      <c r="P48" s="110"/>
      <c r="Q48" s="110"/>
      <c r="R48" s="39"/>
      <c r="S48" s="95">
        <f t="shared" si="6"/>
        <v>12</v>
      </c>
      <c r="T48" s="96">
        <f t="shared" si="2"/>
        <v>29</v>
      </c>
      <c r="U48" s="96">
        <f>LARGE($T$37:$T$48,ROWS(T$37:T48))</f>
        <v>2</v>
      </c>
      <c r="V48" s="96">
        <f t="shared" si="7"/>
        <v>29</v>
      </c>
      <c r="W48" s="164">
        <f>-ROUND(SUM($W$37:$W$44,$W$46,$W$47)*$G$16%,2)</f>
        <v>-9065.56</v>
      </c>
      <c r="X48" s="99" t="str">
        <f>IF(W48=0,"",(CONCATENATE("Less: NCB @ ",G16,"% (Subject to No Claim)")))</f>
        <v>Less: NCB @ 20% (Subject to No Claim)</v>
      </c>
      <c r="Y48" s="86"/>
      <c r="Z48" s="298" t="s">
        <v>225</v>
      </c>
      <c r="AA48" s="164">
        <f>-ROUND(SUM($AA$37:$AA$44,$AA$46,$AA$47)*$G$16%,2)</f>
        <v>-8732.56</v>
      </c>
      <c r="AB48" s="164">
        <f>-ROUND(SUM($AB$37:$AB$44,$AB$46,$AB$47)*$G$16%,2)</f>
        <v>-6919.37</v>
      </c>
      <c r="AC48" s="164">
        <f>-ROUND(SUM($AC$37:$AC$44,$AC$46,$AC$47)*$G$16%,2)</f>
        <v>-9065.56</v>
      </c>
      <c r="AD48" s="164">
        <f>-ROUND(SUM($AD$37:$AD$44,$AD$46,$AD$47)*$G$16%,2)</f>
        <v>-7252.37</v>
      </c>
      <c r="AE48" s="164"/>
    </row>
    <row r="49" spans="1:31" s="43" customFormat="1" ht="19.5" customHeight="1">
      <c r="A49" s="75"/>
      <c r="B49" s="83"/>
      <c r="C49" s="84"/>
      <c r="D49" s="658" t="str">
        <f>IF(I49=100,"Net Own Damage Premium (Min Prem)","Net Own Damage Premium")</f>
        <v>Net Own Damage Premium</v>
      </c>
      <c r="E49" s="658"/>
      <c r="F49" s="658"/>
      <c r="G49" s="316"/>
      <c r="H49" s="101" t="s">
        <v>106</v>
      </c>
      <c r="I49" s="102">
        <f>W49</f>
        <v>36262</v>
      </c>
      <c r="J49" s="84"/>
      <c r="K49" s="90"/>
      <c r="L49" s="39"/>
      <c r="M49" s="39"/>
      <c r="N49" s="103">
        <f>ROUND(I49*15%,0)</f>
        <v>5439</v>
      </c>
      <c r="O49" s="110"/>
      <c r="P49" s="110"/>
      <c r="Q49" s="110"/>
      <c r="R49" s="39"/>
      <c r="S49" s="95"/>
      <c r="T49" s="39"/>
      <c r="U49" s="39"/>
      <c r="V49" s="95"/>
      <c r="W49" s="165">
        <f>ROUND(IF($W$37=0,0,IF($D$10=0,0,(MAX((SUM($W$37:$W$48)),(IF($K$6=3,300,1000)))))),0)</f>
        <v>36262</v>
      </c>
      <c r="X49" s="166"/>
      <c r="Y49" s="86"/>
      <c r="Z49" s="298" t="s">
        <v>226</v>
      </c>
      <c r="AA49" s="165">
        <f>ROUND(IF($AA$37=0,0,IF($D$10=0,0,(MAX((SUM($AA$37:$AA$48)),(IF($K$6=3,300,1000)))))),0)</f>
        <v>43254</v>
      </c>
      <c r="AB49" s="165">
        <f>ROUND(IF($AB$37=0,0,IF($D$10=0,0,(MAX((SUM($AB$37:$AB$48)),(IF($K$6=3,300,1000)))))),0)</f>
        <v>36001</v>
      </c>
      <c r="AC49" s="165">
        <f>ROUND(IF($AC$37=0,0,IF($D$10=0,0,(MAX((SUM($AC$37:$AC$48)),(IF($K$6=3,300,1000)))))),0)</f>
        <v>36262</v>
      </c>
      <c r="AD49" s="165">
        <f>ROUND(IF($AD$37=0,0,IF($D$10=0,0,(MAX((SUM($AD$37:$AD$48)),(IF($K$6=3,300,1000)))))),0)</f>
        <v>29009</v>
      </c>
      <c r="AE49" s="165"/>
    </row>
    <row r="50" spans="1:31" s="43" customFormat="1" ht="19.5" customHeight="1">
      <c r="A50" s="75"/>
      <c r="B50" s="83"/>
      <c r="C50" s="84"/>
      <c r="D50" s="657" t="str">
        <f aca="true" t="shared" si="8" ref="D50:D55">IF(U50&lt;24,"",(VLOOKUP(U50,$V$50:$X$55,3,0)))</f>
        <v>Basic Third Party Premium</v>
      </c>
      <c r="E50" s="657"/>
      <c r="F50" s="657"/>
      <c r="G50" s="657"/>
      <c r="H50" s="93" t="str">
        <f t="shared" si="5"/>
        <v>:</v>
      </c>
      <c r="I50" s="94">
        <f aca="true" t="shared" si="9" ref="I50:I55">IF(U50&lt;24,"",VLOOKUP(U50,$V$50:$X$55,2,0))</f>
        <v>7147</v>
      </c>
      <c r="J50" s="84"/>
      <c r="K50" s="90"/>
      <c r="L50" s="39"/>
      <c r="M50" s="39"/>
      <c r="N50" s="103">
        <f>ROUND(I56*2.5%,0)</f>
        <v>276</v>
      </c>
      <c r="O50" s="110"/>
      <c r="P50" s="110"/>
      <c r="Q50" s="110"/>
      <c r="R50" s="39"/>
      <c r="S50" s="95">
        <v>1</v>
      </c>
      <c r="T50" s="96">
        <f aca="true" t="shared" si="10" ref="T50:T55">IF(W50=0,S50,V50)</f>
        <v>40</v>
      </c>
      <c r="U50" s="96">
        <f>LARGE($T$50:$T$55,ROWS(T$50:T50))</f>
        <v>40</v>
      </c>
      <c r="V50" s="96">
        <v>40</v>
      </c>
      <c r="W50" s="127">
        <f>$V$28</f>
        <v>7147</v>
      </c>
      <c r="X50" s="99" t="s">
        <v>116</v>
      </c>
      <c r="Y50" s="99"/>
      <c r="Z50" s="299" t="s">
        <v>142</v>
      </c>
      <c r="AA50" s="127">
        <f>$V$28</f>
        <v>7147</v>
      </c>
      <c r="AB50" s="127">
        <f>$V$28</f>
        <v>7147</v>
      </c>
      <c r="AC50" s="127">
        <f>$V$28</f>
        <v>7147</v>
      </c>
      <c r="AD50" s="127">
        <f>$V$28</f>
        <v>7147</v>
      </c>
      <c r="AE50" s="127">
        <f>$V$28</f>
        <v>7147</v>
      </c>
    </row>
    <row r="51" spans="1:31" s="43" customFormat="1" ht="19.5" customHeight="1">
      <c r="A51" s="75"/>
      <c r="B51" s="83"/>
      <c r="C51" s="84"/>
      <c r="D51" s="657" t="str">
        <f t="shared" si="8"/>
        <v>Add: Legal Liab for 4 Pass @ Rs.880/- each</v>
      </c>
      <c r="E51" s="657"/>
      <c r="F51" s="657"/>
      <c r="G51" s="657"/>
      <c r="H51" s="93" t="str">
        <f>IF(D51="","",":")</f>
        <v>:</v>
      </c>
      <c r="I51" s="94">
        <f t="shared" si="9"/>
        <v>3520</v>
      </c>
      <c r="J51" s="84"/>
      <c r="K51" s="90"/>
      <c r="L51" s="39"/>
      <c r="M51" s="39"/>
      <c r="N51" s="103">
        <f>IF(G7&gt;3,(N49+N50),N49)</f>
        <v>5439</v>
      </c>
      <c r="O51" s="110"/>
      <c r="P51" s="110"/>
      <c r="Q51" s="110"/>
      <c r="R51" s="39"/>
      <c r="S51" s="95">
        <f>S50+1</f>
        <v>2</v>
      </c>
      <c r="T51" s="96">
        <f t="shared" si="10"/>
        <v>39</v>
      </c>
      <c r="U51" s="96">
        <f>LARGE($T$50:$T$55,ROWS(T$50:T51))</f>
        <v>39</v>
      </c>
      <c r="V51" s="96">
        <f>V50-1</f>
        <v>39</v>
      </c>
      <c r="W51" s="127">
        <f>$E$13*$W$28</f>
        <v>3520</v>
      </c>
      <c r="X51" s="99" t="str">
        <f>IF(W51=0,"",(CONCATENATE("Add: Legal Liab for ",E13," Pass @ Rs.",W28,"/- each")))</f>
        <v>Add: Legal Liab for 4 Pass @ Rs.880/- each</v>
      </c>
      <c r="Y51" s="99"/>
      <c r="Z51" s="299" t="s">
        <v>227</v>
      </c>
      <c r="AA51" s="127">
        <f>$E$13*$W$28</f>
        <v>3520</v>
      </c>
      <c r="AB51" s="127">
        <f>$E$13*$W$28</f>
        <v>3520</v>
      </c>
      <c r="AC51" s="127">
        <f>$E$13*$W$28</f>
        <v>3520</v>
      </c>
      <c r="AD51" s="127">
        <f>$E$13*$W$28</f>
        <v>3520</v>
      </c>
      <c r="AE51" s="127">
        <f>$E$13*$W$28</f>
        <v>3520</v>
      </c>
    </row>
    <row r="52" spans="1:31" s="43" customFormat="1" ht="19.5" customHeight="1">
      <c r="A52" s="75"/>
      <c r="B52" s="83"/>
      <c r="C52" s="84"/>
      <c r="D52" s="657" t="str">
        <f t="shared" si="8"/>
        <v>Owner Driver Compulsory PA @ 15,00,000</v>
      </c>
      <c r="E52" s="657"/>
      <c r="F52" s="657"/>
      <c r="G52" s="657"/>
      <c r="H52" s="93" t="str">
        <f>IF(D52="","",":")</f>
        <v>:</v>
      </c>
      <c r="I52" s="94">
        <f t="shared" si="9"/>
        <v>320</v>
      </c>
      <c r="J52" s="84"/>
      <c r="K52" s="90"/>
      <c r="L52" s="39"/>
      <c r="M52" s="39"/>
      <c r="N52" s="95"/>
      <c r="O52" s="110"/>
      <c r="P52" s="110"/>
      <c r="Q52" s="110"/>
      <c r="R52" s="39"/>
      <c r="S52" s="95">
        <f>S51+1</f>
        <v>3</v>
      </c>
      <c r="T52" s="96">
        <f t="shared" si="10"/>
        <v>38</v>
      </c>
      <c r="U52" s="96">
        <f>LARGE($T$50:$T$55,ROWS(T$50:T52))</f>
        <v>38</v>
      </c>
      <c r="V52" s="96">
        <f>V51-1</f>
        <v>38</v>
      </c>
      <c r="W52" s="127">
        <f>IF($K$16=1,320,0)</f>
        <v>320</v>
      </c>
      <c r="X52" s="99" t="str">
        <f>IF(W52=0,"","Owner Driver Compulsory PA @ 15,00,000")</f>
        <v>Owner Driver Compulsory PA @ 15,00,000</v>
      </c>
      <c r="Y52" s="99"/>
      <c r="Z52" s="299" t="s">
        <v>228</v>
      </c>
      <c r="AA52" s="127">
        <f>IF($K$16=1,320,0)</f>
        <v>320</v>
      </c>
      <c r="AB52" s="127">
        <f>IF($K$16=1,320,0)</f>
        <v>320</v>
      </c>
      <c r="AC52" s="127">
        <f>IF($K$16=1,320,0)</f>
        <v>320</v>
      </c>
      <c r="AD52" s="127">
        <f>IF($K$16=1,320,0)</f>
        <v>320</v>
      </c>
      <c r="AE52" s="127">
        <f>IF($K$16=1,320,0)</f>
        <v>320</v>
      </c>
    </row>
    <row r="53" spans="1:31" s="43" customFormat="1" ht="19.5" customHeight="1">
      <c r="A53" s="75"/>
      <c r="B53" s="83"/>
      <c r="C53" s="84"/>
      <c r="D53" s="657" t="str">
        <f t="shared" si="8"/>
        <v>Add: Legal Liability to (1) Employees</v>
      </c>
      <c r="E53" s="657"/>
      <c r="F53" s="657"/>
      <c r="G53" s="657"/>
      <c r="H53" s="93" t="str">
        <f>IF(D53="","",":")</f>
        <v>:</v>
      </c>
      <c r="I53" s="94">
        <f t="shared" si="9"/>
        <v>50</v>
      </c>
      <c r="J53" s="84"/>
      <c r="K53" s="90"/>
      <c r="L53" s="39"/>
      <c r="M53" s="39"/>
      <c r="N53" s="110"/>
      <c r="O53" s="110"/>
      <c r="P53" s="110"/>
      <c r="Q53" s="110"/>
      <c r="R53" s="39"/>
      <c r="S53" s="95">
        <f>S52+1</f>
        <v>4</v>
      </c>
      <c r="T53" s="96">
        <f t="shared" si="10"/>
        <v>37</v>
      </c>
      <c r="U53" s="96">
        <f>LARGE($T$50:$T$55,ROWS(T$50:T53))</f>
        <v>37</v>
      </c>
      <c r="V53" s="96">
        <f>V52-1</f>
        <v>37</v>
      </c>
      <c r="W53" s="127">
        <f>$K$14*50</f>
        <v>50</v>
      </c>
      <c r="X53" s="99" t="str">
        <f>IF(W53=0,"",CONCATENATE("Add: Legal Liability to (",(K14),") Employees"))</f>
        <v>Add: Legal Liability to (1) Employees</v>
      </c>
      <c r="Y53" s="99"/>
      <c r="Z53" s="299" t="s">
        <v>229</v>
      </c>
      <c r="AA53" s="127">
        <f>$K$14*50</f>
        <v>50</v>
      </c>
      <c r="AB53" s="127">
        <f>$K$14*50</f>
        <v>50</v>
      </c>
      <c r="AC53" s="127">
        <f>$K$14*50</f>
        <v>50</v>
      </c>
      <c r="AD53" s="127">
        <f>$K$14*50</f>
        <v>50</v>
      </c>
      <c r="AE53" s="127">
        <f>$K$14*50</f>
        <v>50</v>
      </c>
    </row>
    <row r="54" spans="1:31" s="43" customFormat="1" ht="19.5" customHeight="1">
      <c r="A54" s="75"/>
      <c r="B54" s="83"/>
      <c r="C54" s="84"/>
      <c r="D54" s="657">
        <f t="shared" si="8"/>
      </c>
      <c r="E54" s="657"/>
      <c r="F54" s="657"/>
      <c r="G54" s="657"/>
      <c r="H54" s="93">
        <f>IF(D54="","",":")</f>
      </c>
      <c r="I54" s="94">
        <f t="shared" si="9"/>
      </c>
      <c r="J54" s="84"/>
      <c r="K54" s="90"/>
      <c r="L54" s="39"/>
      <c r="M54" s="39"/>
      <c r="N54" s="110">
        <f>ROUND(I62*0.025,0)</f>
        <v>0</v>
      </c>
      <c r="O54" s="110"/>
      <c r="P54" s="110"/>
      <c r="Q54" s="110"/>
      <c r="R54" s="39"/>
      <c r="S54" s="95">
        <f>S53+1</f>
        <v>5</v>
      </c>
      <c r="T54" s="96">
        <f t="shared" si="10"/>
        <v>5</v>
      </c>
      <c r="U54" s="96">
        <f>LARGE($T$50:$T$55,ROWS(T$50:T54))</f>
        <v>6</v>
      </c>
      <c r="V54" s="96">
        <f>V53-1</f>
        <v>36</v>
      </c>
      <c r="W54" s="127">
        <f>IF($I$6="CNG/LPG - Yes",60,0)</f>
        <v>0</v>
      </c>
      <c r="X54" s="99">
        <f>IF(W54=0,"","Add: Legal Liability to CNG / LPG Kit")</f>
      </c>
      <c r="Y54" s="99"/>
      <c r="Z54" s="299" t="s">
        <v>231</v>
      </c>
      <c r="AA54" s="127">
        <f>IF($I$6="CNG/LPG - Yes",60,0)</f>
        <v>0</v>
      </c>
      <c r="AB54" s="127">
        <f>IF($I$6="CNG/LPG - Yes",60,0)</f>
        <v>0</v>
      </c>
      <c r="AC54" s="127">
        <f>IF($I$6="CNG/LPG - Yes",60,0)</f>
        <v>0</v>
      </c>
      <c r="AD54" s="127">
        <f>IF($I$6="CNG/LPG - Yes",60,0)</f>
        <v>0</v>
      </c>
      <c r="AE54" s="127">
        <f>IF($I$6="CNG/LPG - Yes",60,0)</f>
        <v>0</v>
      </c>
    </row>
    <row r="55" spans="1:31" s="43" customFormat="1" ht="19.5" customHeight="1">
      <c r="A55" s="75"/>
      <c r="B55" s="83"/>
      <c r="C55" s="84"/>
      <c r="D55" s="657">
        <f t="shared" si="8"/>
      </c>
      <c r="E55" s="657"/>
      <c r="F55" s="657"/>
      <c r="G55" s="657"/>
      <c r="H55" s="93">
        <f>IF(D55="","",":")</f>
      </c>
      <c r="I55" s="94">
        <f t="shared" si="9"/>
      </c>
      <c r="J55" s="84"/>
      <c r="K55" s="90"/>
      <c r="L55" s="39"/>
      <c r="M55" s="39"/>
      <c r="N55" s="110"/>
      <c r="O55" s="110"/>
      <c r="P55" s="110"/>
      <c r="Q55" s="110"/>
      <c r="R55" s="39"/>
      <c r="S55" s="95">
        <f>S54+1</f>
        <v>6</v>
      </c>
      <c r="T55" s="96">
        <f t="shared" si="10"/>
        <v>6</v>
      </c>
      <c r="U55" s="96">
        <f>LARGE($T$50:$T$55,ROWS(T$50:T55))</f>
        <v>5</v>
      </c>
      <c r="V55" s="96">
        <f>V54-1</f>
        <v>35</v>
      </c>
      <c r="W55" s="127">
        <f>$X$28</f>
        <v>0</v>
      </c>
      <c r="X55" s="99">
        <f>IF(W55=0,"","Less: Prem on Limiting TPPD upto Rs.6000/-")</f>
      </c>
      <c r="Y55" s="99"/>
      <c r="Z55" s="299" t="s">
        <v>144</v>
      </c>
      <c r="AA55" s="127">
        <f>$X$28</f>
        <v>0</v>
      </c>
      <c r="AB55" s="127">
        <f>$X$28</f>
        <v>0</v>
      </c>
      <c r="AC55" s="127">
        <f>$X$28</f>
        <v>0</v>
      </c>
      <c r="AD55" s="127">
        <f>$X$28</f>
        <v>0</v>
      </c>
      <c r="AE55" s="127">
        <f>$X$28</f>
        <v>0</v>
      </c>
    </row>
    <row r="56" spans="1:31" s="43" customFormat="1" ht="19.5" customHeight="1">
      <c r="A56" s="75"/>
      <c r="B56" s="83"/>
      <c r="C56" s="84"/>
      <c r="D56" s="658" t="s">
        <v>379</v>
      </c>
      <c r="E56" s="658"/>
      <c r="F56" s="658"/>
      <c r="G56" s="658"/>
      <c r="H56" s="101" t="s">
        <v>106</v>
      </c>
      <c r="I56" s="102">
        <f>W56</f>
        <v>11037</v>
      </c>
      <c r="J56" s="84"/>
      <c r="K56" s="90"/>
      <c r="L56" s="39"/>
      <c r="M56" s="39"/>
      <c r="N56" s="110"/>
      <c r="O56" s="110"/>
      <c r="P56" s="110"/>
      <c r="Q56" s="110"/>
      <c r="R56" s="39"/>
      <c r="S56" s="39"/>
      <c r="T56" s="39"/>
      <c r="U56" s="39"/>
      <c r="V56" s="167"/>
      <c r="W56" s="168">
        <f>ROUND(SUM($W$50:$W$55),0)</f>
        <v>11037</v>
      </c>
      <c r="X56" s="169"/>
      <c r="Y56" s="86"/>
      <c r="Z56" s="298" t="s">
        <v>232</v>
      </c>
      <c r="AA56" s="168">
        <f>ROUND(SUM($AA$50:$AA$55),0)</f>
        <v>11037</v>
      </c>
      <c r="AB56" s="168">
        <f>ROUND(SUM($AB$50:$AB$55),0)</f>
        <v>11037</v>
      </c>
      <c r="AC56" s="168">
        <f>ROUND(SUM($AC$50:$AC$55),0)</f>
        <v>11037</v>
      </c>
      <c r="AD56" s="168">
        <f>ROUND(SUM($AD$50:$AD$55),0)</f>
        <v>11037</v>
      </c>
      <c r="AE56" s="168">
        <f>ROUND(SUM($AE$50:$AE$55),0)</f>
        <v>11037</v>
      </c>
    </row>
    <row r="57" spans="1:31" s="43" customFormat="1" ht="19.5" customHeight="1">
      <c r="A57" s="75"/>
      <c r="B57" s="83"/>
      <c r="C57" s="84"/>
      <c r="D57" s="662" t="s">
        <v>380</v>
      </c>
      <c r="E57" s="662"/>
      <c r="F57" s="662"/>
      <c r="G57" s="662"/>
      <c r="H57" s="93" t="s">
        <v>106</v>
      </c>
      <c r="I57" s="106">
        <f>SUM(I56,I49)</f>
        <v>47299</v>
      </c>
      <c r="J57" s="84"/>
      <c r="K57" s="90"/>
      <c r="L57" s="39"/>
      <c r="M57" s="39"/>
      <c r="N57" s="110"/>
      <c r="O57" s="110"/>
      <c r="P57" s="110"/>
      <c r="Q57" s="110"/>
      <c r="R57" s="39"/>
      <c r="S57" s="39"/>
      <c r="T57" s="39"/>
      <c r="U57" s="39"/>
      <c r="V57" s="167"/>
      <c r="W57" s="127">
        <f>SUM($W$56,$W$49)</f>
        <v>47299</v>
      </c>
      <c r="X57" s="129"/>
      <c r="Y57" s="86"/>
      <c r="Z57" s="298" t="s">
        <v>233</v>
      </c>
      <c r="AA57" s="127">
        <f>SUM($AA$56,$AA$49)</f>
        <v>54291</v>
      </c>
      <c r="AB57" s="127">
        <f>SUM($AB$56,$AB$49)</f>
        <v>47038</v>
      </c>
      <c r="AC57" s="127">
        <f>SUM($AC$56,$AC$49)</f>
        <v>47299</v>
      </c>
      <c r="AD57" s="127">
        <f>SUM($AD$56,$AD$49)</f>
        <v>40046</v>
      </c>
      <c r="AE57" s="127">
        <f>SUM($AE$56,$AE$49)</f>
        <v>11037</v>
      </c>
    </row>
    <row r="58" spans="1:31" s="43" customFormat="1" ht="19.5" customHeight="1">
      <c r="A58" s="75"/>
      <c r="B58" s="83"/>
      <c r="C58" s="84"/>
      <c r="D58" s="662" t="str">
        <f>CONCATENATE("Add: GST (Goods and Services Tax) @ ",Sign!$F$15,"%")</f>
        <v>Add: GST (Goods and Services Tax) @ 18%</v>
      </c>
      <c r="E58" s="662"/>
      <c r="F58" s="662"/>
      <c r="G58" s="662"/>
      <c r="H58" s="93" t="s">
        <v>106</v>
      </c>
      <c r="I58" s="106">
        <f>W58</f>
        <v>8514</v>
      </c>
      <c r="J58" s="84"/>
      <c r="K58" s="90"/>
      <c r="L58" s="39"/>
      <c r="M58" s="39"/>
      <c r="N58" s="110"/>
      <c r="O58" s="110"/>
      <c r="P58" s="110"/>
      <c r="Q58" s="110"/>
      <c r="R58" s="39"/>
      <c r="S58" s="39"/>
      <c r="T58" s="39"/>
      <c r="U58" s="39"/>
      <c r="V58" s="167"/>
      <c r="W58" s="127">
        <f>SUM(W62:W64)</f>
        <v>8514</v>
      </c>
      <c r="X58" s="129"/>
      <c r="Y58" s="86"/>
      <c r="Z58" s="298" t="s">
        <v>381</v>
      </c>
      <c r="AA58" s="127">
        <f>SUM(AA62:AA64)</f>
        <v>9772</v>
      </c>
      <c r="AB58" s="127">
        <f>SUM(AB62:AB64)</f>
        <v>8466</v>
      </c>
      <c r="AC58" s="127">
        <f>SUM(AC62:AC64)</f>
        <v>8514</v>
      </c>
      <c r="AD58" s="127">
        <f>SUM(AD62:AD64)</f>
        <v>7208</v>
      </c>
      <c r="AE58" s="127">
        <f>SUM(AE62:AE64)</f>
        <v>1986</v>
      </c>
    </row>
    <row r="59" spans="1:31" s="43" customFormat="1" ht="19.5" customHeight="1">
      <c r="A59" s="75"/>
      <c r="B59" s="83"/>
      <c r="C59" s="84"/>
      <c r="D59" s="658" t="s">
        <v>378</v>
      </c>
      <c r="E59" s="658"/>
      <c r="F59" s="658"/>
      <c r="G59" s="317"/>
      <c r="H59" s="101" t="s">
        <v>106</v>
      </c>
      <c r="I59" s="102">
        <f>SUM(I57:I58)</f>
        <v>55813</v>
      </c>
      <c r="J59" s="84"/>
      <c r="K59" s="90"/>
      <c r="L59" s="39"/>
      <c r="M59" s="39"/>
      <c r="N59" s="110"/>
      <c r="O59" s="110"/>
      <c r="P59" s="110"/>
      <c r="Q59" s="110"/>
      <c r="R59" s="74"/>
      <c r="S59" s="74"/>
      <c r="T59" s="39"/>
      <c r="U59" s="39"/>
      <c r="V59" s="167"/>
      <c r="W59" s="170">
        <f>SUM($W$57:$W$58)</f>
        <v>55813</v>
      </c>
      <c r="X59" s="129"/>
      <c r="Y59" s="131"/>
      <c r="Z59" s="300" t="s">
        <v>235</v>
      </c>
      <c r="AA59" s="170">
        <f>IF(AD49=0,0,IF(AB59=0,0,IF(AC59=0,0,SUM($AA$57:$AA$58))))</f>
        <v>64063</v>
      </c>
      <c r="AB59" s="170">
        <f>IF(AD49=0,0,IF(AB45=0,0,SUM($AB$57:$AB$58)))</f>
        <v>55504</v>
      </c>
      <c r="AC59" s="170">
        <f>IF(AD49=0,0,IF(AC44=0,0,SUM($AC$57:$AC$58)))</f>
        <v>55813</v>
      </c>
      <c r="AD59" s="170">
        <f>IF(AD49=0,0,SUM($AD$57:$AD$58))</f>
        <v>47254</v>
      </c>
      <c r="AE59" s="170">
        <f>SUM($AE$57:$AE$58)</f>
        <v>13023</v>
      </c>
    </row>
    <row r="60" spans="1:31" s="43" customFormat="1" ht="7.5" customHeight="1">
      <c r="A60" s="79"/>
      <c r="B60" s="109"/>
      <c r="C60" s="84"/>
      <c r="D60" s="84"/>
      <c r="E60" s="84"/>
      <c r="F60" s="84"/>
      <c r="G60" s="84"/>
      <c r="H60" s="84"/>
      <c r="I60" s="84"/>
      <c r="J60" s="84"/>
      <c r="K60" s="90"/>
      <c r="L60" s="39"/>
      <c r="M60" s="39"/>
      <c r="N60" s="110"/>
      <c r="O60" s="110"/>
      <c r="P60" s="110"/>
      <c r="Q60" s="110"/>
      <c r="R60" s="74"/>
      <c r="S60" s="74"/>
      <c r="T60" s="39"/>
      <c r="U60" s="39"/>
      <c r="V60" s="167"/>
      <c r="W60" s="111"/>
      <c r="X60" s="111"/>
      <c r="Y60" s="111"/>
      <c r="Z60" s="111"/>
      <c r="AA60" s="111"/>
      <c r="AB60" s="111"/>
      <c r="AC60" s="111"/>
      <c r="AD60" s="111"/>
      <c r="AE60" s="111"/>
    </row>
    <row r="61" spans="1:31" s="43" customFormat="1" ht="3" customHeight="1">
      <c r="A61" s="79"/>
      <c r="B61" s="659"/>
      <c r="C61" s="659"/>
      <c r="D61" s="659"/>
      <c r="E61" s="659"/>
      <c r="F61" s="659"/>
      <c r="G61" s="659"/>
      <c r="H61" s="659"/>
      <c r="I61" s="659"/>
      <c r="J61" s="659"/>
      <c r="K61" s="90"/>
      <c r="L61" s="39"/>
      <c r="M61" s="39"/>
      <c r="N61" s="110"/>
      <c r="O61" s="110"/>
      <c r="P61" s="110"/>
      <c r="Q61" s="110"/>
      <c r="R61" s="74"/>
      <c r="S61" s="74"/>
      <c r="T61" s="39"/>
      <c r="U61" s="39"/>
      <c r="V61" s="111"/>
      <c r="W61" s="111"/>
      <c r="X61" s="111"/>
      <c r="Y61" s="111"/>
      <c r="Z61" s="111"/>
      <c r="AA61" s="111"/>
      <c r="AB61" s="111"/>
      <c r="AC61" s="111"/>
      <c r="AD61" s="111"/>
      <c r="AE61" s="111"/>
    </row>
    <row r="62" spans="1:31" s="43" customFormat="1" ht="15">
      <c r="A62" s="79"/>
      <c r="B62" s="693" t="str">
        <f>Sign!A16</f>
        <v>G. Lingachari, AO (Mktg), DO-VI, 98856 32211, 040 2340 3147, lingachari@orientalinsurance.co.in</v>
      </c>
      <c r="C62" s="693"/>
      <c r="D62" s="693"/>
      <c r="E62" s="693"/>
      <c r="F62" s="693"/>
      <c r="G62" s="693"/>
      <c r="H62" s="693"/>
      <c r="I62" s="693"/>
      <c r="J62" s="663"/>
      <c r="K62" s="90"/>
      <c r="L62" s="39"/>
      <c r="M62" s="39"/>
      <c r="N62" s="110"/>
      <c r="O62" s="110"/>
      <c r="P62" s="110"/>
      <c r="Q62" s="110"/>
      <c r="R62" s="74"/>
      <c r="S62" s="74"/>
      <c r="T62" s="39"/>
      <c r="U62" s="39"/>
      <c r="V62" s="111"/>
      <c r="W62" s="353">
        <f>ROUND(W$57*Sign!$E$12%,0)</f>
        <v>4257</v>
      </c>
      <c r="X62" s="111"/>
      <c r="Y62" s="111"/>
      <c r="Z62" s="111"/>
      <c r="AA62" s="353">
        <f>ROUND(AA$57*Sign!$E$12%,0)</f>
        <v>4886</v>
      </c>
      <c r="AB62" s="353">
        <f>ROUND(AB$57*Sign!$E$12%,0)</f>
        <v>4233</v>
      </c>
      <c r="AC62" s="353">
        <f>ROUND(AC$57*Sign!$E$12%,0)</f>
        <v>4257</v>
      </c>
      <c r="AD62" s="353">
        <f>ROUND(AD$57*Sign!$E$12%,0)</f>
        <v>3604</v>
      </c>
      <c r="AE62" s="353">
        <f>ROUND(AE$57*Sign!$E$12%,0)</f>
        <v>993</v>
      </c>
    </row>
    <row r="63" spans="1:31" s="43" customFormat="1" ht="3" customHeight="1">
      <c r="A63" s="79"/>
      <c r="B63" s="113"/>
      <c r="C63" s="114"/>
      <c r="D63" s="114"/>
      <c r="E63" s="114"/>
      <c r="F63" s="114"/>
      <c r="G63" s="114"/>
      <c r="H63" s="114"/>
      <c r="I63" s="114"/>
      <c r="J63" s="114"/>
      <c r="K63" s="115"/>
      <c r="L63" s="39"/>
      <c r="M63" s="39"/>
      <c r="N63" s="110"/>
      <c r="O63" s="110"/>
      <c r="P63" s="110"/>
      <c r="Q63" s="110"/>
      <c r="R63" s="74"/>
      <c r="S63" s="74"/>
      <c r="T63" s="74"/>
      <c r="U63" s="74"/>
      <c r="V63" s="111"/>
      <c r="W63" s="111"/>
      <c r="X63" s="111"/>
      <c r="Y63" s="111"/>
      <c r="Z63" s="111"/>
      <c r="AA63" s="111"/>
      <c r="AB63" s="111"/>
      <c r="AC63" s="111"/>
      <c r="AD63" s="111"/>
      <c r="AE63" s="111"/>
    </row>
    <row r="64" spans="1:31" ht="15">
      <c r="A64" s="79"/>
      <c r="B64" s="79"/>
      <c r="C64" s="79"/>
      <c r="D64" s="79"/>
      <c r="E64" s="79"/>
      <c r="F64" s="79"/>
      <c r="G64" s="79"/>
      <c r="H64" s="79"/>
      <c r="I64" s="79"/>
      <c r="J64" s="79"/>
      <c r="K64" s="116"/>
      <c r="L64" s="39"/>
      <c r="M64" s="39"/>
      <c r="N64" s="110"/>
      <c r="O64" s="110"/>
      <c r="P64" s="110"/>
      <c r="Q64" s="110"/>
      <c r="R64" s="74"/>
      <c r="S64" s="74"/>
      <c r="T64" s="74"/>
      <c r="U64" s="74"/>
      <c r="V64" s="79"/>
      <c r="W64" s="353">
        <f>ROUND(W$57*Sign!$E$13%,0)</f>
        <v>4257</v>
      </c>
      <c r="X64" s="79"/>
      <c r="Y64" s="79"/>
      <c r="Z64" s="79"/>
      <c r="AA64" s="353">
        <f>ROUND(AA$57*Sign!$E$13%,0)</f>
        <v>4886</v>
      </c>
      <c r="AB64" s="353">
        <f>ROUND(AB$57*Sign!$E$13%,0)</f>
        <v>4233</v>
      </c>
      <c r="AC64" s="353">
        <f>ROUND(AC$57*Sign!$E$13%,0)</f>
        <v>4257</v>
      </c>
      <c r="AD64" s="353">
        <f>ROUND(AD$57*Sign!$E$13%,0)</f>
        <v>3604</v>
      </c>
      <c r="AE64" s="353">
        <f>ROUND(AE$57*Sign!$E$13%,0)</f>
        <v>993</v>
      </c>
    </row>
    <row r="65" ht="15" customHeight="1" hidden="1"/>
    <row r="66" ht="15" customHeight="1" hidden="1"/>
    <row r="67" ht="15" customHeight="1" hidden="1"/>
  </sheetData>
  <sheetProtection password="CE28" sheet="1" selectLockedCells="1"/>
  <mergeCells count="74">
    <mergeCell ref="N16:P17"/>
    <mergeCell ref="D54:G54"/>
    <mergeCell ref="D55:G55"/>
    <mergeCell ref="D57:G57"/>
    <mergeCell ref="D58:G58"/>
    <mergeCell ref="B61:J61"/>
    <mergeCell ref="D42:G42"/>
    <mergeCell ref="D43:G43"/>
    <mergeCell ref="D44:G44"/>
    <mergeCell ref="D45:G45"/>
    <mergeCell ref="B62:J62"/>
    <mergeCell ref="D48:G48"/>
    <mergeCell ref="D49:F49"/>
    <mergeCell ref="D50:G50"/>
    <mergeCell ref="D51:G51"/>
    <mergeCell ref="D52:G52"/>
    <mergeCell ref="D53:G53"/>
    <mergeCell ref="D59:F59"/>
    <mergeCell ref="D56:G56"/>
    <mergeCell ref="D46:G46"/>
    <mergeCell ref="D47:G47"/>
    <mergeCell ref="D36:I36"/>
    <mergeCell ref="D37:G37"/>
    <mergeCell ref="D38:G38"/>
    <mergeCell ref="D39:G39"/>
    <mergeCell ref="D40:G40"/>
    <mergeCell ref="D41:G41"/>
    <mergeCell ref="D33:F33"/>
    <mergeCell ref="H33:I33"/>
    <mergeCell ref="D34:F34"/>
    <mergeCell ref="H34:I34"/>
    <mergeCell ref="D35:F35"/>
    <mergeCell ref="H35:I35"/>
    <mergeCell ref="D30:F30"/>
    <mergeCell ref="H30:I30"/>
    <mergeCell ref="D31:F31"/>
    <mergeCell ref="H31:I31"/>
    <mergeCell ref="D32:F32"/>
    <mergeCell ref="H32:I32"/>
    <mergeCell ref="D27:F27"/>
    <mergeCell ref="H27:I27"/>
    <mergeCell ref="D28:F28"/>
    <mergeCell ref="H28:I28"/>
    <mergeCell ref="D29:F29"/>
    <mergeCell ref="H29:I29"/>
    <mergeCell ref="B22:K22"/>
    <mergeCell ref="C23:K23"/>
    <mergeCell ref="D25:F25"/>
    <mergeCell ref="H25:I25"/>
    <mergeCell ref="D26:F26"/>
    <mergeCell ref="H26:I26"/>
    <mergeCell ref="G13:H13"/>
    <mergeCell ref="G15:H15"/>
    <mergeCell ref="G16:H16"/>
    <mergeCell ref="B18:J18"/>
    <mergeCell ref="B20:K20"/>
    <mergeCell ref="B21:K21"/>
    <mergeCell ref="G6:H6"/>
    <mergeCell ref="T6:T7"/>
    <mergeCell ref="G7:H7"/>
    <mergeCell ref="G9:H9"/>
    <mergeCell ref="G10:H10"/>
    <mergeCell ref="G12:H12"/>
    <mergeCell ref="K9:L9"/>
    <mergeCell ref="K10:L10"/>
    <mergeCell ref="I2:K2"/>
    <mergeCell ref="T2:T3"/>
    <mergeCell ref="D3:I3"/>
    <mergeCell ref="E4:F4"/>
    <mergeCell ref="G4:H4"/>
    <mergeCell ref="T4:T5"/>
    <mergeCell ref="N4:P4"/>
    <mergeCell ref="C2:F2"/>
    <mergeCell ref="G2:H2"/>
  </mergeCells>
  <dataValidations count="25">
    <dataValidation type="whole" allowBlank="1" showErrorMessage="1" promptTitle="CNG / LPG Kit Value" prompt="&#10;# If Liability only Policy is taken for, Coverage for Loss/Damage to Kit is not Available&#10;&#10;# If Package Policy is taken for, Cost of such Kit shall also be covered on paying 4% on such value of Kit as consideration alongwith Legal Liab Premium @ Rs.60/-" sqref="I7">
      <formula1>0</formula1>
      <formula2>IF(I6="CNG/LPG - Yes",MAX(D10*10%),0)</formula2>
    </dataValidation>
    <dataValidation type="list" operator="equal" showErrorMessage="1" promptTitle="Return to Invoice Price" prompt="&#10;# Add-on Cover, Covers the Difference of Current Invoice Price and IDV of the Policy upto a Max of 10% of Inv Value, in case of Total Loss&#10;&#10;# Cover Avb upto 2nd Renewal only&#10;&#10;# Subj to: Ownership Must be the same as in Invoice during these three Years" sqref="I10">
      <formula1>RTIPCV</formula1>
    </dataValidation>
    <dataValidation type="decimal" allowBlank="1" showErrorMessage="1" promptTitle="Age of Vehicle (Veh's 1st Regn)" prompt="&#10;# To be arrived  from First Date of Regn, i.e., from the Date of Delivery of the Vehicle from the Show-Room&#10;&#10;# Hence, mention the correct Veh's Age (as per Veh's Registration Certificate), as the Age is one of the Rating Factors to calculate the OD Prem" sqref="G7:H7">
      <formula1>0</formula1>
      <formula2>99</formula2>
    </dataValidation>
    <dataValidation errorStyle="warning" type="whole" allowBlank="1" promptTitle="Make and Model of the Vehicle" prompt="&#10;# It is Relevant only, when the following occasions:&#10;&#10;# While output of the quote is printed on paper and to be presented the same to the client as a Premium Quote&#10;&#10;# While capturing relevant details through E-Quote and sending E-mail to Client" sqref="F7">
      <formula1>5000</formula1>
      <formula2>999999999</formula2>
    </dataValidation>
    <dataValidation errorStyle="warning" type="whole" allowBlank="1" promptTitle="Registration Number of Vehicle" prompt="&#10;# It is Relevant only, when the following occasions:&#10;&#10;# While output of the quote is printed on paper and to be presented the same to the client as a Premium Quote&#10;&#10;# While capturing relevant details through E-Quote and sending E-mail to Client" sqref="E7">
      <formula1>5000</formula1>
      <formula2>999999999</formula2>
    </dataValidation>
    <dataValidation errorStyle="warning" type="whole" allowBlank="1" promptTitle="Name of the Registered Owner" prompt="&#10;# It is Relevant only, when the following occasions:&#10;&#10;# While output of the quote is printed on paper and to be presented the same to the client as a Premium Quote&#10;&#10;# While capturing relevant details through E-Quote and sending E-mail to Client" sqref="E4:F4">
      <formula1>0</formula1>
      <formula2>9999999</formula2>
    </dataValidation>
    <dataValidation type="list" allowBlank="1" showErrorMessage="1" promptTitle="Vehicle Class (3 Wh / 4 Wheeler)" prompt="&#10;# Choose Correct Vehicle Class, Viz., 3 Wheeler Autos or 4 Wheeler &#10;&#10;# 3 Wheeler means, Autos running with Three Wheels&#10;&#10;# 4 Wheeler means, Vehicles with Four or more wheeled, for both Below Six and Above Six Passengers" sqref="D7">
      <formula1>"3 Wh Auto,4 Wheeler,E-Rickshaw"</formula1>
    </dataValidation>
    <dataValidation type="list" operator="equal" showErrorMessage="1" promptTitle="Coverage Option" prompt="&#10;# Package Policy gives Own Damage Benefit to Vehicle and Third Parties&#10;&#10;# Liability Only Policy Benefits only for the Third Parties" sqref="I4">
      <formula1>"Liability Only,Package Policy"</formula1>
    </dataValidation>
    <dataValidation type="list" allowBlank="1" showErrorMessage="1" promptTitle="IMT 23, Coverage for IMT 21 Excl" prompt="&#10;# Com Veh, excludes following Exp:&#10;&#10;# Lamps, Tyres/Tubes, Mudguards, Bonnet, Side Parts, Bumpers, Headlights and Paintwork of Damaged Portion only&#10;&#10;# On Option of IMT 23, Insured gets 50% of Abv Exp&#10;&#10;# IMT 23, Not App for Taxies &lt; 6 Pass, as is Pvt Car" sqref="G13:H13">
      <formula1>"Yes,No"</formula1>
    </dataValidation>
    <dataValidation type="list" allowBlank="1" showErrorMessage="1" promptTitle="Compulsory PA: Owner-cum-Driver" prompt="&#10;# Rs.2,00,000/- PA Cover for Registered Owner of the Vehicle&#10;&#10;# Cover can be opted-out only, if Regd on Firm's Name and also if the Owner is not having a valid Driving License&#10;&#10;# On Option of Cover, Rs.100/- shall be added to the TP Part of Premium" sqref="D16">
      <formula1>"Yes (Required),No (Deletion)"</formula1>
    </dataValidation>
    <dataValidation type="list" allowBlank="1" showErrorMessage="1" promptTitle="No Claim Bonus shall be granted:" prompt="&#10;# Expiry of Prev Policy must be with in 90 Days&#10;&#10;# There should not be any Claim in the Previous Policy&#10;&#10;# Ownership shall also be same as the Previous Policy&#10;&#10;# Basis: Renewal Notice or No Claim Declaration by the Insured" sqref="G16:H16">
      <formula1>NCB</formula1>
    </dataValidation>
    <dataValidation type="whole" allowBlank="1" showErrorMessage="1" promptTitle="Non Electrical/Electronic Access" prompt="&#10;# The Equipment shall only be covered, if opted for Package Policy&#10;&#10;# Value of Equipment shall have to be shown separately&#10;&#10;# Premium to be paid on par with Vehicle's OD Rate, on such a value" errorTitle="Sum Insured" error="Please Enter the Data Correctly, to validate the Field" sqref="F10">
      <formula1>0</formula1>
      <formula2>9999999</formula2>
    </dataValidation>
    <dataValidation type="whole" allowBlank="1" showErrorMessage="1" promptTitle="Electrial/Electronic Accessories" prompt="&#10;# The Equipment shall only be covered, if opted for Package Policy&#10;&#10;# Value of Equipment shall have to be shown separately&#10;&#10;# Premium to be paid @ 4%, on such a value, regardless of Age/Zone/Class" errorTitle="Sum Insured" error="Please Enter the Data Correctly, to validate the Field" sqref="E10">
      <formula1>0</formula1>
      <formula2>9999999</formula2>
    </dataValidation>
    <dataValidation type="whole" allowBlank="1" showErrorMessage="1" promptTitle="Fixing of IDV / Sum Insured:" prompt="&#10;# IDV has to be fixed (Depr from Invoice Price), as per IMT Provision upto 5 Years&#10;&#10;# Sum Ins is to be Arrived at / Agreed for, as per the Mutual Consent, between the Insured/Insurer, for Age Abv 5 Yrs&#10;&#10;# Min SI: 30,000 for 4 Wh and 5,000 for 3 Wh Autos" errorTitle="Sum Insured" error="Please Enter the Data Correctly, to validate the Field" sqref="D10">
      <formula1>5000</formula1>
      <formula2>999999999</formula2>
    </dataValidation>
    <dataValidation operator="equal" allowBlank="1" showErrorMessage="1" errorTitle="Sum Insured" error="Please Enter the Data Correctly, to validate the Field" sqref="H29:H32">
      <formula1>0</formula1>
    </dataValidation>
    <dataValidation type="list" operator="equal" showErrorMessage="1" promptTitle="Nill Depreciation Policy Cover" prompt="&#10;# No Depr Deducted, Except a Std Pol Excess for Each/Every Claim&#10;&#10;# IMT-23 is Comp for &gt; 6&#10;&#10;# Cover Avb: Taxies &lt; 6 Pass &lt; 5 Yrs, PCCVs &gt; 6 Pass &lt; 10 Yrs, Subj to a satisfactory Veh Insp&#10;&#10;# NDP Not Avb for 3 Wh&#10;&#10;# 5% Disc, if renewed with same U/w Unit" sqref="G10:H10">
      <formula1>NDPPCV</formula1>
    </dataValidation>
    <dataValidation type="decimal" allowBlank="1" showErrorMessage="1" promptTitle="Underwriting / Detariff Discount" prompt="&#10;# Field Permits the Users, to give a Max of 81% Discount on OD Part of Premium&#10;&#10;# Subject to computation of Minimum OD Part of Premium&#10;&#10;# To be followed by our Co's Discount Pattern from time to time" errorTitle="U/w Discount" error="Please Enter the Discount %age Correctly (Max 93.69%), to validate this Field" sqref="I16">
      <formula1>0</formula1>
      <formula2>93.69</formula2>
    </dataValidation>
    <dataValidation type="list" allowBlank="1" showErrorMessage="1" promptTitle="Third Party Property Damage:" prompt="&#10;# On Limitation of TPPD Cover, Insurer compensates for such Damages, Upto a Limit of Rs. 6,000/- only&#10;&#10;# Otherwise, the same shall be compensated upto Rs.7,50,000/-&#10;&#10;# On Restriction  of Cover, Appropriate Premium shall be reduced from TP Part of Premium" sqref="E16">
      <formula1>"Yes (Limited),No (Wider)"</formula1>
    </dataValidation>
    <dataValidation type="whole" allowBlank="1" showErrorMessage="1" promptTitle="Cubic Capacity of the Vehicle" prompt="&#10;# Cubic Capacity is Applicable only for Taxies Below 6 Passengers&#10;&#10;# CC is the Prime Rating Factor for the Taxies Below 6 Pass, for Both Liability &amp; Package Policies, for Prem Consideration&#10;&#10;# Hence, mention correct CC to get correct Prem computation" sqref="D13">
      <formula1>0</formula1>
      <formula2>99999</formula2>
    </dataValidation>
    <dataValidation type="whole" allowBlank="1" showErrorMessage="1" promptTitle="Registered Carrying Capacity" prompt="&#10;# Regd Carrying Capacity has to be mentioned, as per the Veh's Reg Cert, Excl Driver&#10;&#10;# For Instance: 5+1 means, Five Passengers Plus Driver&#10;&#10;# Per Capita Legal Liability for all the Pass shall have to be Collected, as per the Class of Vehicle under PCCV" sqref="E13">
      <formula1>3</formula1>
      <formula2>999</formula2>
    </dataValidation>
    <dataValidation type="list" allowBlank="1" showErrorMessage="1" promptTitle="CNG / LPG Kit" prompt="&#10;# Must be Declared, if RC / Veh is endorsed for Bi-Fuel, duly fitted with CNG/LPG Kit&#10;&#10;# Pay an Additional Premium of Rs.60/- towards Legal Liability for both Liability Only and Package Policies&#10;&#10;# Coverage for Kit value is Avb only with Package Policy" sqref="I6">
      <formula1>"CNG/LPG - Yes,CNG/LPG - No"</formula1>
    </dataValidation>
    <dataValidation type="list" operator="equal" showErrorMessage="1" promptTitle="Zone of Registration / Operation" prompt="&#10;# Zone A: New Delhi, Kolkatta, Mumbai, Chennai&#10;&#10;# Zone B: Cities of State Capitals&#10;&#10;# Zone C: Rest of India (ROI)&#10;&#10;# But for 4 Wh - Taxies Below 6 Passengers, Classification of Zone of Registration is like Private Cars, but not as stated above" sqref="F13">
      <formula1>"Zone:  A,Zone:  B,Zone:  C"</formula1>
    </dataValidation>
    <dataValidation type="list" allowBlank="1" showErrorMessage="1" promptTitle="Legal Liability to Employees" prompt="&#10;# This is a wider cover, Available at Option for the Proposer, on payment of Rs.50/- each (Provision for a Max of 3)&#10;&#10;# Compensation towards; Accidental Death, Bodily Injury, PTD etc during the course of employment, shall be settled as per the WC Courts" sqref="I13">
      <formula1>"No,Yes 1/Emp,Yes 2/Emp,Yes 3/Emp"</formula1>
    </dataValidation>
    <dataValidation type="list" allowBlank="1" showErrorMessage="1" promptTitle="Anti Theft Devices Discount" prompt="&#10;# A Discount of 2.5% of on OD Part of Premium, subject to a Max of Rs.500/-&#10;&#10;# Anti-Theft Discount shall be offered, only if such Device is approved by ARAI&#10;&#10;# This is a separate Disc, apart from all sorts of Discounts, viz, U/w Disc, NCB" sqref="F16">
      <formula1>"Yes,No"</formula1>
    </dataValidation>
    <dataValidation type="decimal" allowBlank="1" showInputMessage="1" showErrorMessage="1" promptTitle="NDP Disc" prompt="Please refer the recent NDP Discount Circular by HO" errorTitle="NDP Discount" error="Please refer the recent NDP Discount Circular by HO" sqref="K10:L10">
      <formula1>0</formula1>
      <formula2>N19</formula2>
    </dataValidation>
  </dataValidations>
  <printOptions horizontalCentered="1" verticalCentered="1"/>
  <pageMargins left="0.5" right="0.5" top="0.4" bottom="0.4" header="0.3" footer="0.3"/>
  <pageSetup fitToHeight="1" fitToWidth="1" horizontalDpi="300" verticalDpi="300" orientation="portrait" paperSize="9" scale="99" r:id="rId1"/>
</worksheet>
</file>

<file path=xl/worksheets/sheet6.xml><?xml version="1.0" encoding="utf-8"?>
<worksheet xmlns="http://schemas.openxmlformats.org/spreadsheetml/2006/main" xmlns:r="http://schemas.openxmlformats.org/officeDocument/2006/relationships">
  <sheetPr>
    <tabColor theme="0"/>
    <pageSetUpPr fitToPage="1"/>
  </sheetPr>
  <dimension ref="A1:AE73"/>
  <sheetViews>
    <sheetView showGridLines="0" showRowColHeaders="0" zoomScalePageLayoutView="0" workbookViewId="0" topLeftCell="A1">
      <selection activeCell="E4" sqref="E4:F4"/>
    </sheetView>
  </sheetViews>
  <sheetFormatPr defaultColWidth="0" defaultRowHeight="15" customHeight="1" zeroHeight="1"/>
  <cols>
    <col min="1" max="1" width="1.7109375" style="2" customWidth="1"/>
    <col min="2" max="2" width="2.7109375" style="2" customWidth="1"/>
    <col min="3" max="3" width="1.7109375" style="2" customWidth="1"/>
    <col min="4" max="6" width="14.7109375" style="2" customWidth="1"/>
    <col min="7" max="7" width="1.421875" style="2" customWidth="1"/>
    <col min="8" max="8" width="13.7109375" style="2" customWidth="1"/>
    <col min="9" max="9" width="14.7109375" style="2" customWidth="1"/>
    <col min="10" max="10" width="1.7109375" style="2" customWidth="1"/>
    <col min="11" max="11" width="2.7109375" style="117" customWidth="1"/>
    <col min="12" max="12" width="2.7109375" style="121" customWidth="1"/>
    <col min="13" max="13" width="1.7109375" style="121" customWidth="1"/>
    <col min="14" max="14" width="22.7109375" style="121" customWidth="1"/>
    <col min="15" max="15" width="1.7109375" style="121" customWidth="1"/>
    <col min="16" max="16" width="22.7109375" style="121" customWidth="1"/>
    <col min="17" max="18" width="1.7109375" style="121" customWidth="1"/>
    <col min="19" max="19" width="3.00390625" style="121" hidden="1" customWidth="1"/>
    <col min="20" max="20" width="17.421875" style="2" hidden="1" customWidth="1"/>
    <col min="21" max="21" width="12.8515625" style="2" hidden="1" customWidth="1"/>
    <col min="22" max="22" width="10.421875" style="2" hidden="1" customWidth="1"/>
    <col min="23" max="23" width="10.140625" style="2" hidden="1" customWidth="1"/>
    <col min="24" max="24" width="26.7109375" style="2" hidden="1" customWidth="1"/>
    <col min="25" max="25" width="10.28125" style="119" hidden="1" customWidth="1"/>
    <col min="26" max="26" width="11.00390625" style="119" hidden="1" customWidth="1"/>
    <col min="27" max="27" width="9.8515625" style="119" hidden="1" customWidth="1"/>
    <col min="28" max="31" width="9.8515625" style="2" hidden="1" customWidth="1"/>
    <col min="32" max="32" width="21.28125" style="2" hidden="1" customWidth="1"/>
    <col min="33" max="16384" width="9.140625" style="2" hidden="1" customWidth="1"/>
  </cols>
  <sheetData>
    <row r="1" spans="1:27" s="43" customFormat="1" ht="9" customHeight="1">
      <c r="A1" s="39"/>
      <c r="B1" s="39"/>
      <c r="C1" s="39"/>
      <c r="D1" s="39"/>
      <c r="E1" s="39"/>
      <c r="F1" s="39"/>
      <c r="G1" s="39"/>
      <c r="H1" s="39"/>
      <c r="I1" s="39"/>
      <c r="J1" s="39"/>
      <c r="K1" s="39"/>
      <c r="L1" s="39"/>
      <c r="M1" s="39"/>
      <c r="N1" s="39"/>
      <c r="O1" s="39"/>
      <c r="P1" s="39"/>
      <c r="Q1" s="39"/>
      <c r="R1" s="39"/>
      <c r="S1" s="39"/>
      <c r="T1" s="172" t="s">
        <v>145</v>
      </c>
      <c r="U1" s="133" t="s">
        <v>29</v>
      </c>
      <c r="V1" s="133" t="s">
        <v>12</v>
      </c>
      <c r="W1" s="133" t="s">
        <v>30</v>
      </c>
      <c r="X1" s="133" t="s">
        <v>31</v>
      </c>
      <c r="Y1" s="133" t="s">
        <v>124</v>
      </c>
      <c r="Z1" s="133" t="s">
        <v>142</v>
      </c>
      <c r="AA1" s="40"/>
    </row>
    <row r="2" spans="1:27" s="43" customFormat="1" ht="24.75" customHeight="1">
      <c r="A2" s="39"/>
      <c r="B2" s="45"/>
      <c r="C2" s="615" t="s">
        <v>75</v>
      </c>
      <c r="D2" s="616"/>
      <c r="E2" s="616"/>
      <c r="F2" s="616"/>
      <c r="G2" s="626" t="str">
        <f>CONCATENATE("Com: ",IF(K4=2,N54,N55))</f>
        <v>Com: 391</v>
      </c>
      <c r="H2" s="626"/>
      <c r="I2" s="627" t="s">
        <v>146</v>
      </c>
      <c r="J2" s="627"/>
      <c r="K2" s="628"/>
      <c r="L2" s="39"/>
      <c r="M2" s="275"/>
      <c r="N2" s="735" t="s">
        <v>214</v>
      </c>
      <c r="O2" s="736"/>
      <c r="P2" s="737"/>
      <c r="Q2" s="284"/>
      <c r="R2" s="39"/>
      <c r="S2" s="39"/>
      <c r="T2" s="173" t="s">
        <v>147</v>
      </c>
      <c r="U2" s="174" t="str">
        <f>Tariffs!F49</f>
        <v>Zone - A</v>
      </c>
      <c r="V2" s="175">
        <f>Tariffs!G49</f>
        <v>1.751</v>
      </c>
      <c r="W2" s="175">
        <f>Tariffs!H49</f>
        <v>1.795</v>
      </c>
      <c r="X2" s="175">
        <f>Tariffs!I49</f>
        <v>1.839</v>
      </c>
      <c r="Y2" s="175">
        <f>IF($I$7&lt;6,V2,IF($I$7&lt;8,W2,X2))</f>
        <v>1.751</v>
      </c>
      <c r="Z2" s="176">
        <f>IF(Sign!$E$11="2018-19",Tariffs!$J49,Tariffs!$W49)</f>
        <v>14390</v>
      </c>
      <c r="AA2" s="42">
        <v>0</v>
      </c>
    </row>
    <row r="3" spans="1:27" s="43" customFormat="1" ht="9" customHeight="1">
      <c r="A3" s="39"/>
      <c r="B3" s="49"/>
      <c r="C3" s="50"/>
      <c r="D3" s="696"/>
      <c r="E3" s="696"/>
      <c r="F3" s="696"/>
      <c r="G3" s="696"/>
      <c r="H3" s="696"/>
      <c r="I3" s="696"/>
      <c r="J3" s="50"/>
      <c r="K3" s="122"/>
      <c r="L3" s="39"/>
      <c r="M3" s="276"/>
      <c r="N3" s="279"/>
      <c r="O3" s="279"/>
      <c r="P3" s="279"/>
      <c r="Q3" s="280"/>
      <c r="R3" s="39"/>
      <c r="S3" s="39"/>
      <c r="T3" s="173" t="s">
        <v>148</v>
      </c>
      <c r="U3" s="174" t="str">
        <f>Tariffs!F50</f>
        <v>Zone - B</v>
      </c>
      <c r="V3" s="175">
        <f>Tariffs!G50</f>
        <v>1.7429999999999999</v>
      </c>
      <c r="W3" s="175">
        <f>Tariffs!H50</f>
        <v>1.787</v>
      </c>
      <c r="X3" s="175">
        <f>Tariffs!I50</f>
        <v>1.83</v>
      </c>
      <c r="Y3" s="175">
        <f>IF($I$7&lt;6,V3,IF($I$7&lt;8,W3,X3))</f>
        <v>1.7429999999999999</v>
      </c>
      <c r="Z3" s="176">
        <f>IF(Sign!$E$11="2018-19",Tariffs!$J50,Tariffs!$W50)</f>
        <v>24190</v>
      </c>
      <c r="AA3" s="42">
        <v>20</v>
      </c>
    </row>
    <row r="4" spans="1:27" s="43" customFormat="1" ht="27" customHeight="1">
      <c r="A4" s="39"/>
      <c r="B4" s="49"/>
      <c r="C4" s="50"/>
      <c r="D4" s="291" t="s">
        <v>80</v>
      </c>
      <c r="E4" s="643" t="s">
        <v>474</v>
      </c>
      <c r="F4" s="644"/>
      <c r="G4" s="707" t="s">
        <v>81</v>
      </c>
      <c r="H4" s="707"/>
      <c r="I4" s="51" t="s">
        <v>82</v>
      </c>
      <c r="J4" s="52"/>
      <c r="K4" s="122">
        <f>IF(I4="Package Policy",1,2)</f>
        <v>1</v>
      </c>
      <c r="L4" s="39"/>
      <c r="M4" s="276"/>
      <c r="N4" s="319" t="s">
        <v>213</v>
      </c>
      <c r="O4" s="279"/>
      <c r="P4" s="319" t="s">
        <v>212</v>
      </c>
      <c r="Q4" s="280"/>
      <c r="R4" s="39"/>
      <c r="S4" s="39"/>
      <c r="T4" s="173" t="s">
        <v>149</v>
      </c>
      <c r="U4" s="174" t="str">
        <f>Tariffs!F51</f>
        <v>Zone - C</v>
      </c>
      <c r="V4" s="175">
        <f>Tariffs!G51</f>
        <v>1.726</v>
      </c>
      <c r="W4" s="175">
        <f>Tariffs!H51</f>
        <v>1.77</v>
      </c>
      <c r="X4" s="175">
        <f>Tariffs!I51</f>
        <v>1.812</v>
      </c>
      <c r="Y4" s="175">
        <f>IF($I$7&lt;6,V4,IF($I$7&lt;8,W4,X4))</f>
        <v>1.726</v>
      </c>
      <c r="Z4" s="176">
        <f>IF(Sign!$E$11="2018-19",Tariffs!$J51,Tariffs!$W51)</f>
        <v>32367</v>
      </c>
      <c r="AA4" s="42">
        <v>25</v>
      </c>
    </row>
    <row r="5" spans="1:27" s="43" customFormat="1" ht="9" customHeight="1">
      <c r="A5" s="39"/>
      <c r="B5" s="49"/>
      <c r="C5" s="53"/>
      <c r="D5" s="53"/>
      <c r="E5" s="53"/>
      <c r="F5" s="53"/>
      <c r="G5" s="53"/>
      <c r="H5" s="53"/>
      <c r="I5" s="53"/>
      <c r="J5" s="53"/>
      <c r="K5" s="308"/>
      <c r="L5" s="39"/>
      <c r="M5" s="276"/>
      <c r="N5" s="732">
        <f>IF(W65=0,"Not Avb",W65)</f>
        <v>48099</v>
      </c>
      <c r="O5" s="279"/>
      <c r="P5" s="732">
        <f>AE65</f>
        <v>45021</v>
      </c>
      <c r="Q5" s="280"/>
      <c r="R5" s="39"/>
      <c r="S5" s="39"/>
      <c r="T5" s="173" t="s">
        <v>150</v>
      </c>
      <c r="U5" s="175"/>
      <c r="V5" s="175"/>
      <c r="W5" s="175"/>
      <c r="X5" s="175"/>
      <c r="Y5" s="175"/>
      <c r="Z5" s="176">
        <f>IF(Sign!$E$11="2018-19",Tariffs!$J52,Tariffs!$W52)</f>
        <v>39849</v>
      </c>
      <c r="AA5" s="42">
        <v>35</v>
      </c>
    </row>
    <row r="6" spans="1:27" s="43" customFormat="1" ht="24" customHeight="1">
      <c r="A6" s="39"/>
      <c r="B6" s="49"/>
      <c r="C6" s="50"/>
      <c r="D6" s="292" t="s">
        <v>128</v>
      </c>
      <c r="E6" s="292" t="s">
        <v>151</v>
      </c>
      <c r="F6" s="292" t="s">
        <v>84</v>
      </c>
      <c r="G6" s="724" t="s">
        <v>85</v>
      </c>
      <c r="H6" s="725"/>
      <c r="I6" s="291" t="s">
        <v>86</v>
      </c>
      <c r="J6" s="50"/>
      <c r="K6" s="308">
        <f>IF(D7="E-Carts",3,IF(D7="3 Wh Auto",2,1))</f>
        <v>1</v>
      </c>
      <c r="L6" s="39"/>
      <c r="M6" s="276"/>
      <c r="N6" s="733"/>
      <c r="O6" s="279"/>
      <c r="P6" s="733"/>
      <c r="Q6" s="280"/>
      <c r="R6" s="39"/>
      <c r="S6" s="39"/>
      <c r="T6" s="173" t="s">
        <v>152</v>
      </c>
      <c r="U6" s="175"/>
      <c r="V6" s="177">
        <f>IF($E$13="Zone:  A",Y2,IF($E$13="Zone:  B",Y3,Y4))</f>
        <v>1.726</v>
      </c>
      <c r="W6" s="175"/>
      <c r="X6" s="178">
        <f>IF($D$13&lt;7501,Z2,IF($D$13&lt;12001,Z3,IF($D$13&lt;20001,Z4,IF($D$13&lt;40001,Z5,Z6))))</f>
        <v>39849</v>
      </c>
      <c r="Y6" s="175"/>
      <c r="Z6" s="176">
        <f>IF(Sign!$E$11="2018-19",Tariffs!$J53,Tariffs!$W53)</f>
        <v>38308</v>
      </c>
      <c r="AA6" s="42">
        <v>45</v>
      </c>
    </row>
    <row r="7" spans="1:27" s="43" customFormat="1" ht="27" customHeight="1">
      <c r="A7" s="39"/>
      <c r="B7" s="49"/>
      <c r="C7" s="50"/>
      <c r="D7" s="58" t="s">
        <v>153</v>
      </c>
      <c r="E7" s="58" t="s">
        <v>154</v>
      </c>
      <c r="F7" s="54" t="s">
        <v>402</v>
      </c>
      <c r="G7" s="643" t="s">
        <v>315</v>
      </c>
      <c r="H7" s="644"/>
      <c r="I7" s="56">
        <v>2</v>
      </c>
      <c r="J7" s="52"/>
      <c r="K7" s="308">
        <f>IF(E7="Public Carrier",1,2)</f>
        <v>1</v>
      </c>
      <c r="L7" s="39"/>
      <c r="M7" s="276"/>
      <c r="N7" s="734"/>
      <c r="O7" s="279"/>
      <c r="P7" s="734"/>
      <c r="Q7" s="280"/>
      <c r="R7" s="39"/>
      <c r="S7" s="39"/>
      <c r="T7" s="179"/>
      <c r="U7" s="180"/>
      <c r="V7" s="180"/>
      <c r="W7" s="180"/>
      <c r="X7" s="180"/>
      <c r="Y7" s="180"/>
      <c r="Z7" s="180"/>
      <c r="AA7" s="42">
        <v>50</v>
      </c>
    </row>
    <row r="8" spans="1:27" s="43" customFormat="1" ht="9" customHeight="1">
      <c r="A8" s="39"/>
      <c r="B8" s="49"/>
      <c r="C8" s="53"/>
      <c r="D8" s="53"/>
      <c r="E8" s="53"/>
      <c r="F8" s="53"/>
      <c r="G8" s="53"/>
      <c r="H8" s="53"/>
      <c r="I8" s="53"/>
      <c r="J8" s="53"/>
      <c r="K8" s="308"/>
      <c r="L8" s="39"/>
      <c r="M8" s="276"/>
      <c r="N8" s="278"/>
      <c r="O8" s="279"/>
      <c r="P8" s="285"/>
      <c r="Q8" s="280"/>
      <c r="R8" s="39"/>
      <c r="S8" s="39"/>
      <c r="T8" s="172" t="s">
        <v>155</v>
      </c>
      <c r="U8" s="133" t="s">
        <v>29</v>
      </c>
      <c r="V8" s="133" t="s">
        <v>12</v>
      </c>
      <c r="W8" s="133" t="s">
        <v>30</v>
      </c>
      <c r="X8" s="133" t="s">
        <v>31</v>
      </c>
      <c r="Y8" s="133" t="s">
        <v>124</v>
      </c>
      <c r="Z8" s="133" t="s">
        <v>142</v>
      </c>
      <c r="AA8" s="42">
        <v>65</v>
      </c>
    </row>
    <row r="9" spans="1:27" s="43" customFormat="1" ht="24" customHeight="1">
      <c r="A9" s="39"/>
      <c r="B9" s="49"/>
      <c r="C9" s="50"/>
      <c r="D9" s="292" t="str">
        <f>IF(I7&lt;5.01,"IDV of Vehicle","Sum Insured")</f>
        <v>IDV of Vehicle</v>
      </c>
      <c r="E9" s="292" t="s">
        <v>90</v>
      </c>
      <c r="F9" s="292" t="s">
        <v>91</v>
      </c>
      <c r="G9" s="707" t="s">
        <v>92</v>
      </c>
      <c r="H9" s="707"/>
      <c r="I9" s="291" t="s">
        <v>93</v>
      </c>
      <c r="J9" s="50"/>
      <c r="K9" s="650" t="s">
        <v>94</v>
      </c>
      <c r="L9" s="651"/>
      <c r="M9" s="276"/>
      <c r="N9" s="319" t="s">
        <v>209</v>
      </c>
      <c r="O9" s="279"/>
      <c r="P9" s="319" t="s">
        <v>210</v>
      </c>
      <c r="Q9" s="280"/>
      <c r="R9" s="39"/>
      <c r="S9" s="39"/>
      <c r="T9" s="173" t="s">
        <v>147</v>
      </c>
      <c r="U9" s="174" t="str">
        <f>U2</f>
        <v>Zone - A</v>
      </c>
      <c r="V9" s="175">
        <f>Tariffs!T55</f>
        <v>1.226</v>
      </c>
      <c r="W9" s="175">
        <f>Tariffs!U55</f>
        <v>1.2570000000000001</v>
      </c>
      <c r="X9" s="175">
        <f>Tariffs!V55</f>
        <v>1.287</v>
      </c>
      <c r="Y9" s="175">
        <f>IF($I$7&lt;6,V9,IF($I$7&lt;8,W9,X9))</f>
        <v>1.226</v>
      </c>
      <c r="Z9" s="176">
        <f>IF(Sign!$E$11="2018-19",Tariffs!$J55,Tariffs!$W55)</f>
        <v>7144</v>
      </c>
      <c r="AA9" s="39"/>
    </row>
    <row r="10" spans="1:27" s="43" customFormat="1" ht="27" customHeight="1">
      <c r="A10" s="39"/>
      <c r="B10" s="49"/>
      <c r="C10" s="50"/>
      <c r="D10" s="62">
        <v>909909</v>
      </c>
      <c r="E10" s="181">
        <v>0</v>
      </c>
      <c r="F10" s="181">
        <v>0</v>
      </c>
      <c r="G10" s="713" t="s">
        <v>314</v>
      </c>
      <c r="H10" s="713"/>
      <c r="I10" s="58" t="s">
        <v>429</v>
      </c>
      <c r="J10" s="52"/>
      <c r="K10" s="624">
        <v>63</v>
      </c>
      <c r="L10" s="625"/>
      <c r="M10" s="276"/>
      <c r="N10" s="732">
        <f>IF(AD65=0,"Not Avb",AD65)</f>
        <v>46199</v>
      </c>
      <c r="O10" s="279"/>
      <c r="P10" s="732">
        <f>IF(AC65=0,"Not Avb",AC65)</f>
        <v>48099</v>
      </c>
      <c r="Q10" s="280"/>
      <c r="R10" s="39"/>
      <c r="S10" s="39"/>
      <c r="T10" s="173" t="s">
        <v>148</v>
      </c>
      <c r="U10" s="174" t="str">
        <f>U3</f>
        <v>Zone - B</v>
      </c>
      <c r="V10" s="175">
        <f>Tariffs!T56</f>
        <v>1.22</v>
      </c>
      <c r="W10" s="175">
        <f>Tariffs!U56</f>
        <v>1.251</v>
      </c>
      <c r="X10" s="175">
        <f>Tariffs!V56</f>
        <v>1.2810000000000001</v>
      </c>
      <c r="Y10" s="175">
        <f>IF($I$7&lt;6,V10,IF($I$7&lt;8,W10,X10))</f>
        <v>1.22</v>
      </c>
      <c r="Z10" s="176">
        <f>IF(Sign!$E$11="2018-19",Tariffs!$J56,Tariffs!$W56)</f>
        <v>15620</v>
      </c>
      <c r="AA10" s="39"/>
    </row>
    <row r="11" spans="1:27" s="43" customFormat="1" ht="9" customHeight="1">
      <c r="A11" s="39"/>
      <c r="B11" s="49"/>
      <c r="C11" s="53"/>
      <c r="D11" s="53"/>
      <c r="E11" s="53"/>
      <c r="F11" s="53"/>
      <c r="G11" s="53"/>
      <c r="H11" s="53"/>
      <c r="I11" s="53"/>
      <c r="J11" s="53"/>
      <c r="K11" s="308">
        <f>IF(K6=2,3,IF(I7&gt;7,3,IF(G10="W/o Ren Disc",1,IF(G10="With Ren Disc",2,3))))</f>
        <v>1</v>
      </c>
      <c r="L11" s="39"/>
      <c r="M11" s="276"/>
      <c r="N11" s="733"/>
      <c r="O11" s="279"/>
      <c r="P11" s="733"/>
      <c r="Q11" s="280"/>
      <c r="R11" s="39"/>
      <c r="S11" s="39"/>
      <c r="T11" s="173" t="s">
        <v>149</v>
      </c>
      <c r="U11" s="174" t="str">
        <f>U4</f>
        <v>Zone - C</v>
      </c>
      <c r="V11" s="175">
        <f>Tariffs!T57</f>
        <v>1.208</v>
      </c>
      <c r="W11" s="175">
        <f>Tariffs!U57</f>
        <v>1.239</v>
      </c>
      <c r="X11" s="175">
        <f>Tariffs!V57</f>
        <v>1.268</v>
      </c>
      <c r="Y11" s="175">
        <f>IF($I$7&lt;6,V11,IF($I$7&lt;8,W11,X11))</f>
        <v>1.208</v>
      </c>
      <c r="Z11" s="176">
        <f>IF(Sign!$E$11="2018-19",Tariffs!$J57,Tariffs!$W57)</f>
        <v>9871</v>
      </c>
      <c r="AA11" s="39"/>
    </row>
    <row r="12" spans="1:27" s="43" customFormat="1" ht="24" customHeight="1">
      <c r="A12" s="39"/>
      <c r="B12" s="49"/>
      <c r="C12" s="50"/>
      <c r="D12" s="291" t="s">
        <v>156</v>
      </c>
      <c r="E12" s="291" t="s">
        <v>11</v>
      </c>
      <c r="F12" s="293" t="s">
        <v>432</v>
      </c>
      <c r="G12" s="726" t="s">
        <v>157</v>
      </c>
      <c r="H12" s="727"/>
      <c r="I12" s="291" t="s">
        <v>158</v>
      </c>
      <c r="J12" s="53"/>
      <c r="K12" s="308">
        <f>IF(I10="Yes",1,2)</f>
        <v>2</v>
      </c>
      <c r="L12" s="39"/>
      <c r="M12" s="276"/>
      <c r="N12" s="734"/>
      <c r="O12" s="279"/>
      <c r="P12" s="734"/>
      <c r="Q12" s="280"/>
      <c r="R12" s="39"/>
      <c r="S12" s="39"/>
      <c r="T12" s="173" t="s">
        <v>150</v>
      </c>
      <c r="U12" s="175"/>
      <c r="V12" s="175"/>
      <c r="W12" s="175"/>
      <c r="X12" s="175"/>
      <c r="Y12" s="175"/>
      <c r="Z12" s="176">
        <f>IF(Sign!$E$11="2018-19",Tariffs!$J58,Tariffs!$W58)</f>
        <v>15397</v>
      </c>
      <c r="AA12" s="39"/>
    </row>
    <row r="13" spans="1:27" s="43" customFormat="1" ht="27" customHeight="1">
      <c r="A13" s="39"/>
      <c r="B13" s="49"/>
      <c r="C13" s="50"/>
      <c r="D13" s="182">
        <v>27000</v>
      </c>
      <c r="E13" s="51" t="s">
        <v>136</v>
      </c>
      <c r="F13" s="71">
        <v>0</v>
      </c>
      <c r="G13" s="728" t="s">
        <v>433</v>
      </c>
      <c r="H13" s="729"/>
      <c r="I13" s="181">
        <v>0</v>
      </c>
      <c r="J13" s="53"/>
      <c r="K13" s="308">
        <f>IF(F12="CNG/LPG - Yes",1,2)</f>
        <v>2</v>
      </c>
      <c r="L13" s="39"/>
      <c r="M13" s="276"/>
      <c r="N13" s="315"/>
      <c r="O13" s="279"/>
      <c r="P13" s="285"/>
      <c r="Q13" s="280"/>
      <c r="R13" s="39"/>
      <c r="S13" s="39"/>
      <c r="T13" s="184" t="s">
        <v>152</v>
      </c>
      <c r="U13" s="175"/>
      <c r="V13" s="177">
        <f>IF($E$13="Zone:  A",Y9,IF($E$13="Zone:  B",Y10,Y11))</f>
        <v>1.208</v>
      </c>
      <c r="W13" s="175"/>
      <c r="X13" s="178">
        <f>IF($D$13&lt;7501,Z9,IF($D$13&lt;12001,Z10,IF($D$13&lt;20001,Z11,IF($D$13&lt;40001,Z12,Z13))))</f>
        <v>15397</v>
      </c>
      <c r="Y13" s="175"/>
      <c r="Z13" s="176">
        <f>IF(Sign!$E$11="2018-19",Tariffs!$J59,Tariffs!$W59)</f>
        <v>21318</v>
      </c>
      <c r="AA13" s="39"/>
    </row>
    <row r="14" spans="1:27" s="43" customFormat="1" ht="18" customHeight="1">
      <c r="A14" s="39"/>
      <c r="B14" s="49"/>
      <c r="C14" s="53"/>
      <c r="D14" s="53"/>
      <c r="E14" s="53"/>
      <c r="F14" s="53"/>
      <c r="G14" s="53"/>
      <c r="H14" s="53"/>
      <c r="I14" s="53"/>
      <c r="J14" s="53"/>
      <c r="K14" s="308">
        <f>IF(G12="Trailors - Agri",1,2)</f>
        <v>2</v>
      </c>
      <c r="L14" s="39"/>
      <c r="M14" s="276"/>
      <c r="N14" s="319" t="s">
        <v>211</v>
      </c>
      <c r="O14" s="279"/>
      <c r="P14" s="319" t="s">
        <v>215</v>
      </c>
      <c r="Q14" s="280"/>
      <c r="R14" s="39"/>
      <c r="S14" s="39"/>
      <c r="T14" s="185"/>
      <c r="U14" s="186"/>
      <c r="V14" s="186"/>
      <c r="W14" s="186"/>
      <c r="X14" s="186"/>
      <c r="Y14" s="186"/>
      <c r="Z14" s="186"/>
      <c r="AA14" s="39"/>
    </row>
    <row r="15" spans="1:27" s="43" customFormat="1" ht="24" customHeight="1">
      <c r="A15" s="39"/>
      <c r="B15" s="49"/>
      <c r="C15" s="50"/>
      <c r="D15" s="291" t="s">
        <v>159</v>
      </c>
      <c r="E15" s="291" t="s">
        <v>160</v>
      </c>
      <c r="F15" s="291" t="s">
        <v>161</v>
      </c>
      <c r="G15" s="707" t="s">
        <v>103</v>
      </c>
      <c r="H15" s="707"/>
      <c r="I15" s="292" t="s">
        <v>104</v>
      </c>
      <c r="J15" s="53"/>
      <c r="K15" s="308">
        <f>IF(G13="",0,IF(G13="Trailors - No",0,IF(G13="Trailors - One",1,IF(G13="Trailors - Two",2,IF(G13="Trailors - Three",3,4)))))</f>
        <v>0</v>
      </c>
      <c r="L15" s="39"/>
      <c r="M15" s="276"/>
      <c r="N15" s="732">
        <f>IF(AB65=0,"Not Avb",AB65)</f>
        <v>50101</v>
      </c>
      <c r="O15" s="279"/>
      <c r="P15" s="721">
        <f>IF(AA65=0,"Not Avb",AA65)</f>
        <v>51826</v>
      </c>
      <c r="Q15" s="280"/>
      <c r="R15" s="39"/>
      <c r="S15" s="39"/>
      <c r="T15" s="187" t="s">
        <v>162</v>
      </c>
      <c r="U15" s="133" t="s">
        <v>29</v>
      </c>
      <c r="V15" s="133" t="s">
        <v>12</v>
      </c>
      <c r="W15" s="133" t="s">
        <v>30</v>
      </c>
      <c r="X15" s="133" t="s">
        <v>31</v>
      </c>
      <c r="Y15" s="133" t="s">
        <v>124</v>
      </c>
      <c r="Z15" s="133" t="s">
        <v>98</v>
      </c>
      <c r="AA15" s="140" t="str">
        <f>IF(Sign!E11="2016-17",LEFT(Tariffs!J36,3),LEFT(Tariffs!W36,3))</f>
        <v>805</v>
      </c>
    </row>
    <row r="16" spans="1:27" s="43" customFormat="1" ht="27" customHeight="1">
      <c r="A16" s="39"/>
      <c r="B16" s="49"/>
      <c r="C16" s="50"/>
      <c r="D16" s="58" t="s">
        <v>439</v>
      </c>
      <c r="E16" s="58" t="s">
        <v>316</v>
      </c>
      <c r="F16" s="58" t="s">
        <v>316</v>
      </c>
      <c r="G16" s="714">
        <v>20</v>
      </c>
      <c r="H16" s="714"/>
      <c r="I16" s="72">
        <v>93.69</v>
      </c>
      <c r="J16" s="53"/>
      <c r="K16" s="308">
        <f>IF(D16="Not Required",0,IF(D16="",0,IF(D16="Yes 1/Emp",1,IF(D16="Yes 2/Emp",2,IF(D16="Yes 3/Emp",3,4)))))</f>
        <v>4</v>
      </c>
      <c r="L16" s="39"/>
      <c r="M16" s="276"/>
      <c r="N16" s="733"/>
      <c r="O16" s="279"/>
      <c r="P16" s="722"/>
      <c r="Q16" s="280"/>
      <c r="R16" s="39"/>
      <c r="S16" s="39"/>
      <c r="T16" s="188" t="s">
        <v>154</v>
      </c>
      <c r="U16" s="189" t="str">
        <f>U9</f>
        <v>Zone - A</v>
      </c>
      <c r="V16" s="190">
        <f>Tariffs!T61</f>
        <v>1.6640000000000001</v>
      </c>
      <c r="W16" s="190">
        <f>Tariffs!U61</f>
        <v>1.706</v>
      </c>
      <c r="X16" s="190">
        <f>Tariffs!V61</f>
        <v>1.7469999999999999</v>
      </c>
      <c r="Y16" s="191">
        <f aca="true" t="shared" si="0" ref="Y16:Y21">IF($I$7&lt;6,V16,IF($I$7&lt;8,W16,X16))</f>
        <v>1.6640000000000001</v>
      </c>
      <c r="Z16" s="192"/>
      <c r="AA16" s="39"/>
    </row>
    <row r="17" spans="1:27" s="43" customFormat="1" ht="9" customHeight="1">
      <c r="A17" s="39"/>
      <c r="B17" s="49"/>
      <c r="C17" s="53"/>
      <c r="D17" s="53"/>
      <c r="E17" s="53"/>
      <c r="F17" s="53"/>
      <c r="G17" s="53"/>
      <c r="H17" s="53"/>
      <c r="I17" s="53"/>
      <c r="J17" s="53"/>
      <c r="K17" s="308">
        <f>IF(E16="Not Required",0,IF(E16="Yes 1/NFPP",1,IF(E16="Yes 2/NFPP",2,3)))</f>
        <v>0</v>
      </c>
      <c r="L17" s="39"/>
      <c r="M17" s="276"/>
      <c r="N17" s="734"/>
      <c r="O17" s="279"/>
      <c r="P17" s="723"/>
      <c r="Q17" s="280"/>
      <c r="R17" s="39"/>
      <c r="S17" s="39"/>
      <c r="T17" s="188"/>
      <c r="U17" s="189" t="str">
        <f>U10</f>
        <v>Zone - B</v>
      </c>
      <c r="V17" s="190">
        <f>Tariffs!T62</f>
        <v>1.6560000000000001</v>
      </c>
      <c r="W17" s="190">
        <f>Tariffs!U62</f>
        <v>1.697</v>
      </c>
      <c r="X17" s="190">
        <f>Tariffs!V62</f>
        <v>1.7389999999999999</v>
      </c>
      <c r="Y17" s="191">
        <f t="shared" si="0"/>
        <v>1.6560000000000001</v>
      </c>
      <c r="Z17" s="193">
        <f>IF($E$13="Zone:  A",Y16,IF($E$13="Zone:  B",Y17,Y18))</f>
        <v>1.64</v>
      </c>
      <c r="AA17" s="39"/>
    </row>
    <row r="18" spans="1:27" s="43" customFormat="1" ht="24" customHeight="1">
      <c r="A18" s="39"/>
      <c r="B18" s="49"/>
      <c r="C18" s="50"/>
      <c r="D18" s="520" t="s">
        <v>105</v>
      </c>
      <c r="E18" s="520" t="s">
        <v>480</v>
      </c>
      <c r="F18" s="476" t="s">
        <v>431</v>
      </c>
      <c r="G18" s="730" t="s">
        <v>164</v>
      </c>
      <c r="H18" s="730"/>
      <c r="I18" s="301" t="s">
        <v>251</v>
      </c>
      <c r="J18" s="53"/>
      <c r="K18" s="308">
        <f>IF(F16="Not Required",0,IF(F16="Yes 1/Cooli",1,IF(F16="Yes 2/Coolies",2,IF(F16="Yes 3/Coolies",3,IF(F16="Yes 4/Coolies",4,5)))))</f>
        <v>0</v>
      </c>
      <c r="L18" s="39"/>
      <c r="M18" s="276"/>
      <c r="N18" s="307"/>
      <c r="O18" s="279"/>
      <c r="P18" s="285"/>
      <c r="Q18" s="280"/>
      <c r="R18" s="39"/>
      <c r="S18" s="39"/>
      <c r="T18" s="188"/>
      <c r="U18" s="189" t="str">
        <f>U11</f>
        <v>Zone - C</v>
      </c>
      <c r="V18" s="190">
        <f>Tariffs!T63</f>
        <v>1.64</v>
      </c>
      <c r="W18" s="190">
        <f>Tariffs!U63</f>
        <v>1.681</v>
      </c>
      <c r="X18" s="190">
        <f>Tariffs!V63</f>
        <v>1.722</v>
      </c>
      <c r="Y18" s="191">
        <f t="shared" si="0"/>
        <v>1.64</v>
      </c>
      <c r="Z18" s="194">
        <f>IF(K6=2,(IF(Sign!$E$11="2018-19",Tariffs!$J61,Tariffs!$W61)),3175)</f>
        <v>3175</v>
      </c>
      <c r="AA18" s="39"/>
    </row>
    <row r="19" spans="1:27" s="43" customFormat="1" ht="9" customHeight="1">
      <c r="A19" s="39"/>
      <c r="B19" s="49"/>
      <c r="C19" s="53"/>
      <c r="D19" s="53"/>
      <c r="E19" s="53"/>
      <c r="F19" s="53"/>
      <c r="G19" s="53"/>
      <c r="H19" s="53"/>
      <c r="I19" s="53"/>
      <c r="J19" s="53"/>
      <c r="K19" s="309">
        <f>IF(K11=1,1,IF(K11=2,1,IF(G18="IMT 23 - Yes",1,2)))</f>
        <v>1</v>
      </c>
      <c r="L19" s="39"/>
      <c r="M19" s="276"/>
      <c r="N19" s="715" t="s">
        <v>238</v>
      </c>
      <c r="O19" s="716"/>
      <c r="P19" s="717"/>
      <c r="Q19" s="280"/>
      <c r="R19" s="39"/>
      <c r="S19" s="39"/>
      <c r="T19" s="188" t="s">
        <v>165</v>
      </c>
      <c r="U19" s="189" t="str">
        <f>U16</f>
        <v>Zone - A</v>
      </c>
      <c r="V19" s="190">
        <f>Tariffs!T64</f>
        <v>1.165</v>
      </c>
      <c r="W19" s="190">
        <f>Tariffs!U64</f>
        <v>1.194</v>
      </c>
      <c r="X19" s="190">
        <f>Tariffs!V64</f>
        <v>1.223</v>
      </c>
      <c r="Y19" s="191">
        <f t="shared" si="0"/>
        <v>1.165</v>
      </c>
      <c r="Z19" s="192"/>
      <c r="AA19" s="39"/>
    </row>
    <row r="20" spans="1:28" s="43" customFormat="1" ht="24.75" customHeight="1">
      <c r="A20" s="39"/>
      <c r="B20" s="610" t="str">
        <f>'Pvt Car'!B20:J20</f>
        <v>SmartCalc… Most Reliable, Simple, Fast and Efficient - Lingachari Oriental</v>
      </c>
      <c r="C20" s="611"/>
      <c r="D20" s="611"/>
      <c r="E20" s="611"/>
      <c r="F20" s="611"/>
      <c r="G20" s="611"/>
      <c r="H20" s="611"/>
      <c r="I20" s="611"/>
      <c r="J20" s="612"/>
      <c r="K20" s="310"/>
      <c r="L20" s="39"/>
      <c r="M20" s="277"/>
      <c r="N20" s="718"/>
      <c r="O20" s="719"/>
      <c r="P20" s="720"/>
      <c r="Q20" s="283"/>
      <c r="R20" s="39"/>
      <c r="S20" s="39"/>
      <c r="T20" s="188"/>
      <c r="U20" s="189" t="str">
        <f>U17</f>
        <v>Zone - B</v>
      </c>
      <c r="V20" s="190">
        <f>Tariffs!T65</f>
        <v>1.159</v>
      </c>
      <c r="W20" s="190">
        <f>Tariffs!U65</f>
        <v>1.188</v>
      </c>
      <c r="X20" s="190">
        <f>Tariffs!V65</f>
        <v>1.217</v>
      </c>
      <c r="Y20" s="191">
        <f t="shared" si="0"/>
        <v>1.159</v>
      </c>
      <c r="Z20" s="193">
        <f>IF($E$13="Zone:  A",Y19,IF($E$13="Zone:  B",Y20,Y21))</f>
        <v>1.148</v>
      </c>
      <c r="AA20" s="74"/>
      <c r="AB20" s="80" t="str">
        <f>CONCATENATE(IF(E4="","Dear Sir/Madam,",E4),CHAR(10),CHAR(10),"Thank you for contacting us for obtaining Premium Details of our Co's Goods Carrier Commercial Vehicle Insurance Policy and we wish to furnish the details of the same, for your kind reference:")</f>
        <v>Mr. Gogulamudi Lingachari
Thank you for contacting us for obtaining Premium Details of our Co's Goods Carrier Commercial Vehicle Insurance Policy and we wish to furnish the details of the same, for your kind reference:</v>
      </c>
    </row>
    <row r="21" spans="1:28" s="78" customFormat="1" ht="9" customHeight="1">
      <c r="A21" s="75"/>
      <c r="B21" s="75"/>
      <c r="C21" s="75"/>
      <c r="D21" s="75"/>
      <c r="E21" s="75"/>
      <c r="F21" s="75"/>
      <c r="G21" s="75"/>
      <c r="H21" s="75"/>
      <c r="I21" s="75"/>
      <c r="J21" s="75"/>
      <c r="K21" s="75"/>
      <c r="L21" s="39"/>
      <c r="M21" s="39"/>
      <c r="N21" s="39"/>
      <c r="O21" s="39"/>
      <c r="P21" s="39"/>
      <c r="Q21" s="39"/>
      <c r="R21" s="39"/>
      <c r="S21" s="39"/>
      <c r="T21" s="188"/>
      <c r="U21" s="189" t="str">
        <f>U18</f>
        <v>Zone - C</v>
      </c>
      <c r="V21" s="190">
        <f>Tariffs!T66</f>
        <v>1.148</v>
      </c>
      <c r="W21" s="190">
        <f>Tariffs!U66</f>
        <v>1.177</v>
      </c>
      <c r="X21" s="190">
        <f>Tariffs!V66</f>
        <v>1.205</v>
      </c>
      <c r="Y21" s="191">
        <f t="shared" si="0"/>
        <v>1.148</v>
      </c>
      <c r="Z21" s="194">
        <f>IF(K6=2,(IF(Sign!$E$11="2018-19",Tariffs!$J64,Tariffs!$W64)),2579)</f>
        <v>2579</v>
      </c>
      <c r="AA21" s="74"/>
      <c r="AB21" s="81" t="str">
        <f>CONCATENATE(AB25,AB26,AB27,AB28,AB29,AB30,AB31,AB32,AB33,AB34,AB35,AC35,AC36,AC37)</f>
        <v>     #  Name of the Registered Owner:  Mr. Gogulamudi Lingachari
     #  Vehicle's Registration Number:  AP 99 UB 1234
     #  Type of Policy/Cover Opted:  Package Policy, NDP Cover
     #  Make and Model of the Vehicle:  Tata Tanker
     #  GVW (Gross Vehicle Weight):  27000 Kgs
     #  Age of Vehicle (As per RC):  2 Year(s)
     #  Zone of Registration:  Zone:  C
     #  Owner-Driver-PA Cover:  Opted
     #  Limited TPPD Cover:  Opted, Hence Deleted
     #  NCB (No Clam Bonus):  20% (on Renewal of Cover)
</v>
      </c>
    </row>
    <row r="22" spans="1:28" s="43" customFormat="1" ht="24.75" customHeight="1">
      <c r="A22" s="79"/>
      <c r="B22" s="614">
        <f ca="1">TODAY()</f>
        <v>43469</v>
      </c>
      <c r="C22" s="614"/>
      <c r="D22" s="614"/>
      <c r="E22" s="614"/>
      <c r="F22" s="614"/>
      <c r="G22" s="614"/>
      <c r="H22" s="614"/>
      <c r="I22" s="614"/>
      <c r="J22" s="614"/>
      <c r="K22" s="614"/>
      <c r="L22" s="39"/>
      <c r="M22" s="39"/>
      <c r="N22" s="519">
        <f>IF(I7="",I16,IF(I7&lt;2.1,I16,IF(I7&lt;5.1,20,0)))</f>
        <v>93.69</v>
      </c>
      <c r="O22" s="39"/>
      <c r="P22" s="39"/>
      <c r="Q22" s="39"/>
      <c r="R22" s="39"/>
      <c r="S22" s="39"/>
      <c r="T22" s="195" t="s">
        <v>141</v>
      </c>
      <c r="U22" s="195" t="s">
        <v>166</v>
      </c>
      <c r="V22" s="195" t="s">
        <v>142</v>
      </c>
      <c r="W22" s="195" t="s">
        <v>167</v>
      </c>
      <c r="X22" s="195" t="s">
        <v>168</v>
      </c>
      <c r="Y22" s="64" t="s">
        <v>96</v>
      </c>
      <c r="Z22" s="64" t="s">
        <v>97</v>
      </c>
      <c r="AA22" s="74"/>
      <c r="AB22" s="80" t="str">
        <f>CONCATENATE(CHAR(10),"Premium is to paid for An Amount of Rs.",I65,"/- Inclusive of Ser Tax @ ",Sign!F15,"% towards ",IF(G16="","Issuance of ",IF(G16=0,"Issuance of ","Renewal of ")),I4," for the above Risk.",CHAR(10),CHAR(10),"Request you to arrange the above quoted premium along with the required vehicle documents, to enable us to issue the policy at the earliest.")</f>
        <v>
Premium is to paid for An Amount of Rs.48099/- Inclusive of Ser Tax @ 18% towards Renewal of Package Policy for the above Risk.
Request you to arrange the above quoted premium along with the required vehicle documents, to enable us to issue the policy at the earliest.</v>
      </c>
    </row>
    <row r="23" spans="1:28" s="43" customFormat="1" ht="24.75" customHeight="1">
      <c r="A23" s="79"/>
      <c r="B23" s="617" t="s">
        <v>9</v>
      </c>
      <c r="C23" s="617"/>
      <c r="D23" s="617"/>
      <c r="E23" s="617"/>
      <c r="F23" s="617"/>
      <c r="G23" s="617"/>
      <c r="H23" s="617"/>
      <c r="I23" s="617"/>
      <c r="J23" s="617"/>
      <c r="K23" s="617"/>
      <c r="L23" s="39"/>
      <c r="M23" s="39"/>
      <c r="N23" s="39"/>
      <c r="O23" s="39"/>
      <c r="P23" s="39"/>
      <c r="Q23" s="39"/>
      <c r="R23" s="39"/>
      <c r="S23" s="39"/>
      <c r="T23" s="196">
        <f>IF(K6=1,(IF(K7=1,V6,V13)),(IF(K7=1,Z17,Z20)))</f>
        <v>1.726</v>
      </c>
      <c r="U23" s="197">
        <f>IF(K6=2,0,IF(D13&gt;12001,(CEILING((D13-12001)/100,1)*27),0))</f>
        <v>4050</v>
      </c>
      <c r="V23" s="197">
        <f>IF($K$6=1,IF(K7=1,X6,X13),IF(K7=1,Z18,Z21))</f>
        <v>39849</v>
      </c>
      <c r="W23" s="198">
        <f>IF(K15=0,0,IF(K15=1,W24,IF(K15=2,W25,IF(K15=3,W26,W27))))</f>
        <v>0</v>
      </c>
      <c r="X23" s="199">
        <f>IF(Sign!$E$11="2018-19",IF(K14=1,Tariffs!$J72,Tariffs!$J73),IF(K14=2,Tariffs!$W72,Tariffs!$W73))</f>
        <v>2091</v>
      </c>
      <c r="Y23" s="200">
        <f>IF(K4=2,0,IF(K6=2,0,IF(K11=3,0,IF(K11=1,(IF(I7&lt;0.6,15,IF(I7&lt;2.01,25,IF(I7&lt;5.01,35,IF(I7&lt;7.01,40,0))))),(IF(I7&lt;0.6,15,IF(I7&lt;2.01,25,IF(I7&lt;5.01,35,IF(I7&lt;7.01,40,0))))*0.95)))))</f>
        <v>25</v>
      </c>
      <c r="Z23" s="200">
        <f>IF(K4=2,0,IF(I7&lt;1,0.45,IF(I7&lt;2,0.55,IF(I7&lt;3,0.7,0))))</f>
        <v>0.7</v>
      </c>
      <c r="AA23" s="74"/>
      <c r="AB23" s="74"/>
    </row>
    <row r="24" spans="1:28" s="43" customFormat="1" ht="24.75" customHeight="1">
      <c r="A24" s="79"/>
      <c r="B24" s="604" t="str">
        <f>Sign!F4</f>
        <v>DO-VI, Begumpet, Hyderabad - 500 016</v>
      </c>
      <c r="C24" s="604"/>
      <c r="D24" s="604"/>
      <c r="E24" s="604"/>
      <c r="F24" s="604"/>
      <c r="G24" s="604"/>
      <c r="H24" s="604"/>
      <c r="I24" s="604"/>
      <c r="J24" s="604"/>
      <c r="K24" s="604"/>
      <c r="L24" s="39"/>
      <c r="M24" s="39"/>
      <c r="N24" s="39"/>
      <c r="O24" s="39"/>
      <c r="P24" s="39"/>
      <c r="Q24" s="39"/>
      <c r="R24" s="39"/>
      <c r="S24" s="39"/>
      <c r="T24" s="201"/>
      <c r="U24" s="201"/>
      <c r="V24" s="201"/>
      <c r="W24" s="202">
        <f>IF($K$14=1,0.87,1.05)</f>
        <v>1.05</v>
      </c>
      <c r="X24" s="201"/>
      <c r="Y24" s="203" t="str">
        <f>IF(K4=2,"Not Applicable",IF(K6=2,"Not Applicable",IF(I7&gt;7,"Not Avb","W/o Ren Disc")))</f>
        <v>W/o Ren Disc</v>
      </c>
      <c r="Z24" s="203" t="str">
        <f>IF(K4=2,"Not Applicable",IF(I7&gt;2,"Not Avb","Yes"))</f>
        <v>Yes</v>
      </c>
      <c r="AA24" s="74"/>
      <c r="AB24" s="74"/>
    </row>
    <row r="25" spans="1:28" s="43" customFormat="1" ht="20.25" customHeight="1">
      <c r="A25" s="79"/>
      <c r="B25" s="82"/>
      <c r="C25" s="678" t="str">
        <f>CONCATENATE("Premium  Quotation for GCCV (Goods Carrier) - ",I4)</f>
        <v>Premium  Quotation for GCCV (Goods Carrier) - Package Policy</v>
      </c>
      <c r="D25" s="678"/>
      <c r="E25" s="678"/>
      <c r="F25" s="678"/>
      <c r="G25" s="678"/>
      <c r="H25" s="678"/>
      <c r="I25" s="678"/>
      <c r="J25" s="678"/>
      <c r="K25" s="679"/>
      <c r="L25" s="39"/>
      <c r="M25" s="39"/>
      <c r="N25" s="87"/>
      <c r="O25" s="39"/>
      <c r="P25" s="39"/>
      <c r="Q25" s="39"/>
      <c r="R25" s="39"/>
      <c r="S25" s="39"/>
      <c r="T25" s="201"/>
      <c r="U25" s="201"/>
      <c r="V25" s="201"/>
      <c r="W25" s="202">
        <f>IF($K$14=1,0.9,1.08)</f>
        <v>1.08</v>
      </c>
      <c r="X25" s="201"/>
      <c r="Y25" s="203" t="str">
        <f>IF(K4=2,"Not Applicable",IF(K6=2,"Not Applicable",IF(I7&gt;7,"Not Avb","With Ren Disc")))</f>
        <v>With Ren Disc</v>
      </c>
      <c r="Z25" s="203" t="str">
        <f>IF(K4=2,"Not Applicable",IF(I7&gt;2,"Not Avb","No"))</f>
        <v>No</v>
      </c>
      <c r="AA25" s="74"/>
      <c r="AB25" s="86" t="str">
        <f>CONCATENATE("     #  ",D27,":  ",H27,CHAR(10))</f>
        <v>     #  Name of the Registered Owner:  Mr. Gogulamudi Lingachari
</v>
      </c>
    </row>
    <row r="26" spans="1:28" s="43" customFormat="1" ht="6" customHeight="1">
      <c r="A26" s="79"/>
      <c r="B26" s="83"/>
      <c r="C26" s="84"/>
      <c r="D26" s="84"/>
      <c r="E26" s="84"/>
      <c r="F26" s="84"/>
      <c r="G26" s="84"/>
      <c r="H26" s="84"/>
      <c r="I26" s="84"/>
      <c r="J26" s="84"/>
      <c r="K26" s="85"/>
      <c r="L26" s="39"/>
      <c r="M26" s="39"/>
      <c r="N26" s="39"/>
      <c r="O26" s="39"/>
      <c r="P26" s="39"/>
      <c r="Q26" s="39"/>
      <c r="R26" s="39"/>
      <c r="S26" s="39"/>
      <c r="T26" s="201"/>
      <c r="U26" s="201"/>
      <c r="V26" s="201"/>
      <c r="W26" s="202">
        <f>IF($K$14=1,0.93,1.12)</f>
        <v>1.12</v>
      </c>
      <c r="X26" s="201"/>
      <c r="Y26" s="203" t="str">
        <f>IF(K4=2,"Not Applicable",IF(K6=2,"Not Applicable",IF(I7&gt;7,"Not Avb","No")))</f>
        <v>No</v>
      </c>
      <c r="Z26" s="104"/>
      <c r="AA26" s="74"/>
      <c r="AB26" s="86" t="str">
        <f>CONCATENATE("     #  ",D28,":  ",H28,CHAR(10))</f>
        <v>     #  Vehicle's Registration Number:  AP 99 UB 1234
</v>
      </c>
    </row>
    <row r="27" spans="1:28" s="43" customFormat="1" ht="18" customHeight="1">
      <c r="A27" s="75"/>
      <c r="B27" s="83"/>
      <c r="C27" s="84"/>
      <c r="D27" s="652" t="s">
        <v>462</v>
      </c>
      <c r="E27" s="652"/>
      <c r="F27" s="652"/>
      <c r="G27" s="88" t="s">
        <v>106</v>
      </c>
      <c r="H27" s="652" t="str">
        <f>E4</f>
        <v>Mr. Gogulamudi Lingachari</v>
      </c>
      <c r="I27" s="652"/>
      <c r="J27" s="89"/>
      <c r="K27" s="90"/>
      <c r="L27" s="39"/>
      <c r="M27" s="39"/>
      <c r="N27" s="39"/>
      <c r="O27" s="39"/>
      <c r="P27" s="39"/>
      <c r="Q27" s="39"/>
      <c r="R27" s="39"/>
      <c r="S27" s="39"/>
      <c r="T27" s="201"/>
      <c r="U27" s="201"/>
      <c r="V27" s="201"/>
      <c r="W27" s="202">
        <f>IF($K$14=1,0.96,1.16)</f>
        <v>1.16</v>
      </c>
      <c r="X27" s="201"/>
      <c r="Y27" s="203">
        <f>IF(K10&gt;I16,I16,K10)</f>
        <v>63</v>
      </c>
      <c r="Z27" s="74"/>
      <c r="AA27" s="74"/>
      <c r="AB27" s="86" t="str">
        <f>CONCATENATE("     #  ",D30,":  ",IF(K4=2,"Liability Only",IF(K4=1,(CONCATENATE("Package Policy",IF(K11=3,"",", NDP Cover"),IF(K12=2,"",", RTI Cover"))))),CHAR(10))</f>
        <v>     #  Type of Policy/Cover Opted:  Package Policy, NDP Cover
</v>
      </c>
    </row>
    <row r="28" spans="1:28" s="43" customFormat="1" ht="18" customHeight="1">
      <c r="A28" s="75"/>
      <c r="B28" s="83"/>
      <c r="C28" s="84"/>
      <c r="D28" s="652" t="s">
        <v>107</v>
      </c>
      <c r="E28" s="652"/>
      <c r="F28" s="652"/>
      <c r="G28" s="88" t="s">
        <v>106</v>
      </c>
      <c r="H28" s="652" t="str">
        <f>UPPER(F7)</f>
        <v>AP 99 UB 1234</v>
      </c>
      <c r="I28" s="652"/>
      <c r="J28" s="89"/>
      <c r="K28" s="90"/>
      <c r="L28" s="39"/>
      <c r="M28" s="39"/>
      <c r="N28" s="39"/>
      <c r="O28" s="39"/>
      <c r="P28" s="39"/>
      <c r="Q28" s="39"/>
      <c r="R28" s="39"/>
      <c r="S28" s="39"/>
      <c r="T28" s="76">
        <f>IF(D18="Yes (Required)",1,2)</f>
        <v>1</v>
      </c>
      <c r="U28" s="76">
        <f>IF(E18="TPPD - Wider",1,2)</f>
        <v>2</v>
      </c>
      <c r="V28" s="76">
        <f>IF(F18="Anti Theft - Yes",1,2)</f>
        <v>2</v>
      </c>
      <c r="W28" s="76">
        <f>IF(I18="Geog Ext - Yes",1,2)</f>
        <v>2</v>
      </c>
      <c r="X28" s="201"/>
      <c r="Y28" s="201"/>
      <c r="Z28" s="74"/>
      <c r="AA28" s="74"/>
      <c r="AB28" s="86" t="str">
        <f>IF(X7=2,"",(CONCATENATE("     #  ",D29,":  ",H29,CHAR(10))))</f>
        <v>     #  Make and Model of the Vehicle:  Tata Tanker
</v>
      </c>
    </row>
    <row r="29" spans="1:28" s="43" customFormat="1" ht="18" customHeight="1">
      <c r="A29" s="75"/>
      <c r="B29" s="83"/>
      <c r="C29" s="84"/>
      <c r="D29" s="652" t="s">
        <v>108</v>
      </c>
      <c r="E29" s="652"/>
      <c r="F29" s="652"/>
      <c r="G29" s="88" t="s">
        <v>106</v>
      </c>
      <c r="H29" s="652" t="str">
        <f>PROPER(G7)</f>
        <v>Tata Tanker</v>
      </c>
      <c r="I29" s="652"/>
      <c r="J29" s="89"/>
      <c r="K29" s="90"/>
      <c r="L29" s="39"/>
      <c r="M29" s="39"/>
      <c r="N29" s="39"/>
      <c r="O29" s="39"/>
      <c r="P29" s="39"/>
      <c r="Q29" s="39"/>
      <c r="R29" s="39"/>
      <c r="S29" s="39"/>
      <c r="T29" s="201"/>
      <c r="U29" s="201"/>
      <c r="V29" s="201"/>
      <c r="W29" s="201"/>
      <c r="X29" s="201"/>
      <c r="Y29" s="203">
        <f>IF(K6=2,0,IF(K6=3,0,IF(I7&lt;0.61,15,IF(I7&lt;2.01,25,IF(I7&lt;5.01,35,0)))))</f>
        <v>25</v>
      </c>
      <c r="Z29" s="203">
        <f>IF(I7&lt;0.3,0.45,IF(I7&lt;1.01,0.55,IF(I7&lt;2.01,0.7,0)))</f>
        <v>0.7</v>
      </c>
      <c r="AA29" s="74"/>
      <c r="AB29" s="86">
        <f>IF(X7=2,"",IF(E10=0,"",(CONCATENATE("     #  ",D31,":  Rs.",H31,"/- ",CHAR(10)))))</f>
      </c>
    </row>
    <row r="30" spans="1:28" s="43" customFormat="1" ht="18" customHeight="1">
      <c r="A30" s="75"/>
      <c r="B30" s="83"/>
      <c r="C30" s="84"/>
      <c r="D30" s="652" t="s">
        <v>109</v>
      </c>
      <c r="E30" s="652"/>
      <c r="F30" s="652"/>
      <c r="G30" s="88" t="s">
        <v>106</v>
      </c>
      <c r="H30" s="652" t="str">
        <f>I4</f>
        <v>Package Policy</v>
      </c>
      <c r="I30" s="652"/>
      <c r="J30" s="89"/>
      <c r="K30" s="90"/>
      <c r="L30" s="39"/>
      <c r="M30" s="39"/>
      <c r="N30" s="39"/>
      <c r="O30" s="39"/>
      <c r="P30" s="39"/>
      <c r="Q30" s="39"/>
      <c r="R30" s="39"/>
      <c r="S30" s="39"/>
      <c r="T30" s="201"/>
      <c r="U30" s="201"/>
      <c r="V30" s="201"/>
      <c r="W30" s="201"/>
      <c r="X30" s="201"/>
      <c r="Y30" s="201"/>
      <c r="Z30" s="74"/>
      <c r="AA30" s="201"/>
      <c r="AB30" s="86">
        <f>IF(K4=2,"",IF(E10=0,"",(CONCATENATE("     #  ",D32,":  Rs.",H32,"/- ",CHAR(10)))))</f>
      </c>
    </row>
    <row r="31" spans="1:28" s="43" customFormat="1" ht="18" customHeight="1">
      <c r="A31" s="75"/>
      <c r="B31" s="83"/>
      <c r="C31" s="84"/>
      <c r="D31" s="652" t="str">
        <f>IF(G9&lt;5.01,"IDV (Insured's Declared Value) of Vehicle","Sum Insured of Vehicle")</f>
        <v>Sum Insured of Vehicle</v>
      </c>
      <c r="E31" s="652"/>
      <c r="F31" s="652"/>
      <c r="G31" s="88" t="s">
        <v>106</v>
      </c>
      <c r="H31" s="653">
        <f>D10</f>
        <v>909909</v>
      </c>
      <c r="I31" s="653"/>
      <c r="J31" s="89"/>
      <c r="K31" s="90"/>
      <c r="L31" s="39"/>
      <c r="M31" s="39"/>
      <c r="N31" s="39"/>
      <c r="O31" s="39"/>
      <c r="P31" s="39"/>
      <c r="Q31" s="39"/>
      <c r="R31" s="39"/>
      <c r="S31" s="39"/>
      <c r="T31" s="201"/>
      <c r="U31" s="201"/>
      <c r="V31" s="201"/>
      <c r="W31" s="201"/>
      <c r="X31" s="201"/>
      <c r="Y31" s="201"/>
      <c r="Z31" s="74"/>
      <c r="AA31" s="74"/>
      <c r="AB31" s="86">
        <f>IF(K4=2,"",IF(F10=0,"",(CONCATENATE("     #  ",D33,":  Rs.",H33,"/- ",CHAR(10)))))</f>
      </c>
    </row>
    <row r="32" spans="1:28" s="43" customFormat="1" ht="18" customHeight="1">
      <c r="A32" s="75"/>
      <c r="B32" s="83"/>
      <c r="C32" s="84"/>
      <c r="D32" s="652" t="s">
        <v>110</v>
      </c>
      <c r="E32" s="652"/>
      <c r="F32" s="652"/>
      <c r="G32" s="88" t="s">
        <v>106</v>
      </c>
      <c r="H32" s="653">
        <f>E10</f>
        <v>0</v>
      </c>
      <c r="I32" s="653"/>
      <c r="J32" s="89"/>
      <c r="K32" s="90"/>
      <c r="L32" s="39"/>
      <c r="M32" s="39"/>
      <c r="N32" s="39"/>
      <c r="O32" s="39"/>
      <c r="P32" s="39"/>
      <c r="Q32" s="39"/>
      <c r="R32" s="39"/>
      <c r="S32" s="39"/>
      <c r="T32" s="201"/>
      <c r="U32" s="201"/>
      <c r="V32" s="201"/>
      <c r="W32" s="201"/>
      <c r="X32" s="201"/>
      <c r="Y32" s="201"/>
      <c r="Z32" s="201"/>
      <c r="AA32" s="74"/>
      <c r="AB32" s="86">
        <f>IF(K13=1,CONCATENATE("     #  ",D34,":  Rs.",H34,"/-",CHAR(10)),"")</f>
      </c>
    </row>
    <row r="33" spans="1:28" s="43" customFormat="1" ht="18" customHeight="1">
      <c r="A33" s="75"/>
      <c r="B33" s="83"/>
      <c r="C33" s="84"/>
      <c r="D33" s="652" t="s">
        <v>111</v>
      </c>
      <c r="E33" s="652"/>
      <c r="F33" s="652"/>
      <c r="G33" s="88" t="s">
        <v>106</v>
      </c>
      <c r="H33" s="653">
        <f>F10</f>
        <v>0</v>
      </c>
      <c r="I33" s="653"/>
      <c r="J33" s="89"/>
      <c r="K33" s="90"/>
      <c r="L33" s="39"/>
      <c r="M33" s="39"/>
      <c r="N33" s="39"/>
      <c r="O33" s="39"/>
      <c r="P33" s="39"/>
      <c r="Q33" s="39"/>
      <c r="R33" s="39"/>
      <c r="S33" s="39"/>
      <c r="T33" s="204"/>
      <c r="U33" s="201"/>
      <c r="V33" s="201"/>
      <c r="W33" s="201"/>
      <c r="X33" s="201"/>
      <c r="Y33" s="201"/>
      <c r="Z33" s="201"/>
      <c r="AA33" s="74"/>
      <c r="AB33" s="86" t="str">
        <f>CONCATENATE("     #  ",D35,":  ",H35," Kgs",CHAR(10))</f>
        <v>     #  GVW (Gross Vehicle Weight):  27000 Kgs
</v>
      </c>
    </row>
    <row r="34" spans="1:28" s="43" customFormat="1" ht="18" customHeight="1">
      <c r="A34" s="75"/>
      <c r="B34" s="83"/>
      <c r="C34" s="84"/>
      <c r="D34" s="652" t="s">
        <v>122</v>
      </c>
      <c r="E34" s="652"/>
      <c r="F34" s="652"/>
      <c r="G34" s="88" t="s">
        <v>106</v>
      </c>
      <c r="H34" s="653">
        <f>F13</f>
        <v>0</v>
      </c>
      <c r="I34" s="653"/>
      <c r="J34" s="89"/>
      <c r="K34" s="90"/>
      <c r="L34" s="39"/>
      <c r="M34" s="39"/>
      <c r="N34" s="39"/>
      <c r="O34" s="39"/>
      <c r="P34" s="39"/>
      <c r="Q34" s="39"/>
      <c r="R34" s="39"/>
      <c r="S34" s="39"/>
      <c r="T34" s="201"/>
      <c r="U34" s="201"/>
      <c r="V34" s="201"/>
      <c r="W34" s="201"/>
      <c r="X34" s="201"/>
      <c r="Y34" s="201"/>
      <c r="Z34" s="74"/>
      <c r="AA34" s="74"/>
      <c r="AB34" s="86" t="str">
        <f>CONCATENATE("     #  ",D36,":  ",(IF(I7="","New Vehicle",H36))," Year(s)",CHAR(10))</f>
        <v>     #  Age of Vehicle (As per RC):  2 Year(s)
</v>
      </c>
    </row>
    <row r="35" spans="1:29" s="43" customFormat="1" ht="18" customHeight="1">
      <c r="A35" s="75"/>
      <c r="B35" s="83"/>
      <c r="C35" s="84"/>
      <c r="D35" s="652" t="s">
        <v>169</v>
      </c>
      <c r="E35" s="652"/>
      <c r="F35" s="652"/>
      <c r="G35" s="88" t="s">
        <v>106</v>
      </c>
      <c r="H35" s="731">
        <f>D13</f>
        <v>27000</v>
      </c>
      <c r="I35" s="731"/>
      <c r="J35" s="89"/>
      <c r="K35" s="90"/>
      <c r="L35" s="39"/>
      <c r="M35" s="39"/>
      <c r="N35" s="39"/>
      <c r="O35" s="39"/>
      <c r="P35" s="39"/>
      <c r="Q35" s="39"/>
      <c r="R35" s="39"/>
      <c r="S35" s="39"/>
      <c r="T35" s="201"/>
      <c r="U35" s="201"/>
      <c r="V35" s="201"/>
      <c r="W35" s="201"/>
      <c r="X35" s="201"/>
      <c r="Y35" s="201"/>
      <c r="Z35" s="74"/>
      <c r="AA35" s="74"/>
      <c r="AB35" s="86" t="str">
        <f>CONCATENATE("     #  ",D37,":  ",H37,CHAR(10))</f>
        <v>     #  Zone of Registration:  Zone:  C
</v>
      </c>
      <c r="AC35" s="91" t="str">
        <f>IF(T28=2,"",CONCATENATE("     #  Owner-Driver-PA Cover:  Opted",CHAR(10)))</f>
        <v>     #  Owner-Driver-PA Cover:  Opted
</v>
      </c>
    </row>
    <row r="36" spans="1:29" s="43" customFormat="1" ht="18" customHeight="1">
      <c r="A36" s="75"/>
      <c r="B36" s="83"/>
      <c r="C36" s="84"/>
      <c r="D36" s="652" t="s">
        <v>113</v>
      </c>
      <c r="E36" s="652"/>
      <c r="F36" s="652"/>
      <c r="G36" s="88" t="s">
        <v>106</v>
      </c>
      <c r="H36" s="655">
        <f>IF(I7&lt;0.51,"New Vehicle",I7)</f>
        <v>2</v>
      </c>
      <c r="I36" s="655"/>
      <c r="J36" s="89"/>
      <c r="K36" s="90"/>
      <c r="L36" s="39"/>
      <c r="M36" s="39"/>
      <c r="N36" s="39"/>
      <c r="O36" s="39"/>
      <c r="P36" s="39"/>
      <c r="Q36" s="39"/>
      <c r="R36" s="39"/>
      <c r="S36" s="39"/>
      <c r="T36" s="201"/>
      <c r="U36" s="201"/>
      <c r="V36" s="201"/>
      <c r="W36" s="205"/>
      <c r="X36" s="201"/>
      <c r="Y36" s="201"/>
      <c r="Z36" s="74"/>
      <c r="AA36" s="74"/>
      <c r="AB36" s="86"/>
      <c r="AC36" s="91" t="str">
        <f>IF(U28=1,"",CONCATENATE("     #  Limited TPPD Cover:  Opted, Hence Deleted",CHAR(10)))</f>
        <v>     #  Limited TPPD Cover:  Opted, Hence Deleted
</v>
      </c>
    </row>
    <row r="37" spans="1:29" s="43" customFormat="1" ht="18" customHeight="1">
      <c r="A37" s="75"/>
      <c r="B37" s="83"/>
      <c r="C37" s="84"/>
      <c r="D37" s="652" t="s">
        <v>114</v>
      </c>
      <c r="E37" s="652"/>
      <c r="F37" s="652"/>
      <c r="G37" s="88" t="s">
        <v>106</v>
      </c>
      <c r="H37" s="652" t="str">
        <f>E13</f>
        <v>Zone:  C</v>
      </c>
      <c r="I37" s="652"/>
      <c r="J37" s="89"/>
      <c r="K37" s="90"/>
      <c r="L37" s="103"/>
      <c r="M37" s="39"/>
      <c r="N37" s="39"/>
      <c r="O37" s="39"/>
      <c r="P37" s="39"/>
      <c r="Q37" s="39"/>
      <c r="R37" s="103"/>
      <c r="S37" s="103"/>
      <c r="T37" s="201"/>
      <c r="U37" s="201"/>
      <c r="V37" s="201"/>
      <c r="W37" s="205">
        <f>SUM(W39:W40,W42)</f>
        <v>19755.02934</v>
      </c>
      <c r="X37" s="302"/>
      <c r="Y37" s="201"/>
      <c r="Z37" s="74"/>
      <c r="AA37" s="74"/>
      <c r="AB37" s="86"/>
      <c r="AC37" s="91" t="str">
        <f>IF(G16=0,"",IF(G16="","",CONCATENATE("     #  NCB (No Clam Bonus):  ",G16,"% (on Renewal of Cover)",CHAR(10))))</f>
        <v>     #  NCB (No Clam Bonus):  20% (on Renewal of Cover)
</v>
      </c>
    </row>
    <row r="38" spans="1:31" s="43" customFormat="1" ht="18" customHeight="1">
      <c r="A38" s="75"/>
      <c r="B38" s="83"/>
      <c r="C38" s="84"/>
      <c r="D38" s="656" t="s">
        <v>115</v>
      </c>
      <c r="E38" s="656"/>
      <c r="F38" s="656"/>
      <c r="G38" s="656"/>
      <c r="H38" s="656"/>
      <c r="I38" s="656"/>
      <c r="J38" s="84"/>
      <c r="K38" s="90"/>
      <c r="L38" s="103"/>
      <c r="M38" s="39"/>
      <c r="N38" s="39"/>
      <c r="O38" s="39"/>
      <c r="P38" s="39"/>
      <c r="Q38" s="39"/>
      <c r="R38" s="103"/>
      <c r="S38" s="103"/>
      <c r="T38" s="201"/>
      <c r="U38" s="201"/>
      <c r="V38" s="201"/>
      <c r="W38" s="206" t="s">
        <v>153</v>
      </c>
      <c r="X38" s="201"/>
      <c r="Y38" s="201"/>
      <c r="Z38" s="74"/>
      <c r="AA38" s="206" t="s">
        <v>216</v>
      </c>
      <c r="AB38" s="206" t="s">
        <v>97</v>
      </c>
      <c r="AC38" s="206" t="s">
        <v>96</v>
      </c>
      <c r="AD38" s="206" t="s">
        <v>217</v>
      </c>
      <c r="AE38" s="206" t="s">
        <v>218</v>
      </c>
    </row>
    <row r="39" spans="1:31" s="43" customFormat="1" ht="18" customHeight="1">
      <c r="A39" s="75"/>
      <c r="B39" s="83"/>
      <c r="C39" s="84"/>
      <c r="D39" s="657" t="str">
        <f>IF(U39&lt;24,"Basic OD Premium",(VLOOKUP(U39,$V$39:$X$52,3,0)))</f>
        <v>Basic OD Prem @ 1.726 % on Veh Value</v>
      </c>
      <c r="E39" s="657"/>
      <c r="F39" s="657"/>
      <c r="G39" s="657"/>
      <c r="H39" s="93" t="str">
        <f aca="true" t="shared" si="1" ref="H39:H61">IF(D39="","",":")</f>
        <v>:</v>
      </c>
      <c r="I39" s="94">
        <f>IF(U39&lt;24,0,VLOOKUP(U39,$V$39:$X$52,2,0))</f>
        <v>15705.029340000001</v>
      </c>
      <c r="J39" s="84"/>
      <c r="K39" s="90"/>
      <c r="L39" s="103"/>
      <c r="M39" s="39"/>
      <c r="N39" s="48"/>
      <c r="O39" s="39"/>
      <c r="P39" s="48"/>
      <c r="Q39" s="39"/>
      <c r="R39" s="103"/>
      <c r="S39" s="95">
        <v>1</v>
      </c>
      <c r="T39" s="96">
        <f aca="true" t="shared" si="2" ref="T39:T52">IF(W39=0,S39,V39)</f>
        <v>40</v>
      </c>
      <c r="U39" s="96">
        <f>LARGE($T$39:$T$52,ROWS(T$39:T39))</f>
        <v>40</v>
      </c>
      <c r="V39" s="96">
        <v>40</v>
      </c>
      <c r="W39" s="207">
        <f>IF($K$4=1,($D$10*$T$23%),0)</f>
        <v>15705.029340000001</v>
      </c>
      <c r="X39" s="99" t="str">
        <f>IF(W39=0,"Basic OD Premium",CONCATENATE("Basic OD Prem @ ",T23," % on Veh Value"))</f>
        <v>Basic OD Prem @ 1.726 % on Veh Value</v>
      </c>
      <c r="Y39" s="201"/>
      <c r="Z39" s="91"/>
      <c r="AA39" s="207">
        <f>($D$10*$T$23%)</f>
        <v>15705.029340000001</v>
      </c>
      <c r="AB39" s="207">
        <f>($D$10*$T$23%)</f>
        <v>15705.029340000001</v>
      </c>
      <c r="AC39" s="207">
        <f>($D$10*$T$23%)</f>
        <v>15705.029340000001</v>
      </c>
      <c r="AD39" s="207">
        <f>($D$10*$T$23%)</f>
        <v>15705.029340000001</v>
      </c>
      <c r="AE39" s="207"/>
    </row>
    <row r="40" spans="1:31" s="43" customFormat="1" ht="18" customHeight="1">
      <c r="A40" s="75"/>
      <c r="B40" s="83"/>
      <c r="C40" s="84"/>
      <c r="D40" s="657" t="str">
        <f aca="true" t="shared" si="3" ref="D40:D52">IF(U40&lt;24,"",(VLOOKUP(U40,$V$39:$X$52,3,0)))</f>
        <v>Add: Prem of Additional Tonnage &gt; 12000 Kgs</v>
      </c>
      <c r="E40" s="657"/>
      <c r="F40" s="657"/>
      <c r="G40" s="657"/>
      <c r="H40" s="93" t="str">
        <f t="shared" si="1"/>
        <v>:</v>
      </c>
      <c r="I40" s="94">
        <f aca="true" t="shared" si="4" ref="I40:I52">IF(U40&lt;24,"",VLOOKUP(U40,$V$39:$X$52,2,0))</f>
        <v>4050</v>
      </c>
      <c r="J40" s="84"/>
      <c r="K40" s="90"/>
      <c r="L40" s="103"/>
      <c r="M40" s="39"/>
      <c r="N40" s="48"/>
      <c r="O40" s="39"/>
      <c r="P40" s="48"/>
      <c r="Q40" s="39"/>
      <c r="R40" s="103"/>
      <c r="S40" s="95">
        <f>S39+1</f>
        <v>2</v>
      </c>
      <c r="T40" s="96">
        <f t="shared" si="2"/>
        <v>39</v>
      </c>
      <c r="U40" s="96">
        <f>LARGE($T$39:$T$52,ROWS(T$39:T40))</f>
        <v>39</v>
      </c>
      <c r="V40" s="96">
        <f>V39-1</f>
        <v>39</v>
      </c>
      <c r="W40" s="208">
        <f>IF($W$39=0,0,$U$23)</f>
        <v>4050</v>
      </c>
      <c r="X40" s="99" t="str">
        <f>IF(W40=0,"","Add: Prem of Additional Tonnage &gt; 12000 Kgs")</f>
        <v>Add: Prem of Additional Tonnage &gt; 12000 Kgs</v>
      </c>
      <c r="Y40" s="201"/>
      <c r="Z40" s="91"/>
      <c r="AA40" s="208">
        <f>IF($AA$39=0,0,$U$23)</f>
        <v>4050</v>
      </c>
      <c r="AB40" s="208">
        <f>IF($AB$39=0,0,$U$23)</f>
        <v>4050</v>
      </c>
      <c r="AC40" s="208">
        <f>IF($AC$39=0,0,$U$23)</f>
        <v>4050</v>
      </c>
      <c r="AD40" s="208">
        <f>IF($AD$39=0,0,$U$23)</f>
        <v>4050</v>
      </c>
      <c r="AE40" s="208"/>
    </row>
    <row r="41" spans="1:31" s="43" customFormat="1" ht="18" customHeight="1">
      <c r="A41" s="75"/>
      <c r="B41" s="83"/>
      <c r="C41" s="84"/>
      <c r="D41" s="657" t="str">
        <f t="shared" si="3"/>
        <v>Add: IMT 23 (Coverage for IMT 21 Exclusions)</v>
      </c>
      <c r="E41" s="657"/>
      <c r="F41" s="657"/>
      <c r="G41" s="657"/>
      <c r="H41" s="93" t="str">
        <f t="shared" si="1"/>
        <v>:</v>
      </c>
      <c r="I41" s="94">
        <f t="shared" si="4"/>
        <v>2963.25</v>
      </c>
      <c r="J41" s="84"/>
      <c r="K41" s="90"/>
      <c r="L41" s="103"/>
      <c r="M41" s="39"/>
      <c r="N41" s="48"/>
      <c r="O41" s="39"/>
      <c r="P41" s="48"/>
      <c r="Q41" s="39"/>
      <c r="R41" s="103"/>
      <c r="S41" s="95">
        <f aca="true" t="shared" si="5" ref="S41:S52">S40+1</f>
        <v>3</v>
      </c>
      <c r="T41" s="96">
        <f t="shared" si="2"/>
        <v>3</v>
      </c>
      <c r="U41" s="96">
        <f>LARGE($T$39:$T$52,ROWS(T$39:T41))</f>
        <v>33</v>
      </c>
      <c r="V41" s="96">
        <f aca="true" t="shared" si="6" ref="V41:V52">V40-1</f>
        <v>38</v>
      </c>
      <c r="W41" s="208">
        <f>IF($W$39=0,0,IF($K$15=0,0,($I$13*$W$23%)))</f>
        <v>0</v>
      </c>
      <c r="X41" s="99">
        <f>IF(W41=0,"",CONCATENATE("Add: Prem @ ",W23," % on Trailor Value"))</f>
      </c>
      <c r="Y41" s="201"/>
      <c r="Z41" s="91"/>
      <c r="AA41" s="208">
        <f>IF($AA$39=0,0,IF($K$15=0,0,($I$13*$W$23%)))</f>
        <v>0</v>
      </c>
      <c r="AB41" s="208">
        <f>IF($AB$39=0,0,IF($K$15=0,0,($I$13*$W$23%)))</f>
        <v>0</v>
      </c>
      <c r="AC41" s="208">
        <f>IF($AC$39=0,0,IF($K$15=0,0,($I$13*$W$23%)))</f>
        <v>0</v>
      </c>
      <c r="AD41" s="208">
        <f>IF($AD$39=0,0,IF($K$15=0,0,($I$13*$W$23%)))</f>
        <v>0</v>
      </c>
      <c r="AE41" s="208"/>
    </row>
    <row r="42" spans="1:31" s="43" customFormat="1" ht="18" customHeight="1">
      <c r="A42" s="75"/>
      <c r="B42" s="83"/>
      <c r="C42" s="84"/>
      <c r="D42" s="657" t="str">
        <f t="shared" si="3"/>
        <v>Less: U/w (De-Tariff) Discount @ 93.69%</v>
      </c>
      <c r="E42" s="657"/>
      <c r="F42" s="657"/>
      <c r="G42" s="657"/>
      <c r="H42" s="93" t="str">
        <f t="shared" si="1"/>
        <v>:</v>
      </c>
      <c r="I42" s="94">
        <f t="shared" si="4"/>
        <v>-21285</v>
      </c>
      <c r="J42" s="84"/>
      <c r="K42" s="90"/>
      <c r="L42" s="103"/>
      <c r="M42" s="39"/>
      <c r="N42" s="48"/>
      <c r="O42" s="39"/>
      <c r="P42" s="48"/>
      <c r="Q42" s="39"/>
      <c r="R42" s="103"/>
      <c r="S42" s="95">
        <f t="shared" si="5"/>
        <v>4</v>
      </c>
      <c r="T42" s="96">
        <f t="shared" si="2"/>
        <v>4</v>
      </c>
      <c r="U42" s="96">
        <f>LARGE($T$39:$T$52,ROWS(T$39:T42))</f>
        <v>32</v>
      </c>
      <c r="V42" s="96">
        <f t="shared" si="6"/>
        <v>37</v>
      </c>
      <c r="W42" s="208">
        <f>IF($W$39=0,0,$F$10*$T$23%)</f>
        <v>0</v>
      </c>
      <c r="X42" s="99">
        <f>IF(W42=0,"",CONCATENATE("Add: Prem @ ",T23,"% on Non-Ele Accs' Value"))</f>
      </c>
      <c r="Y42" s="201"/>
      <c r="Z42" s="91"/>
      <c r="AA42" s="208">
        <f>IF($AA$39=0,0,$F$10*$T$23%)</f>
        <v>0</v>
      </c>
      <c r="AB42" s="208">
        <f>IF($AB$39=0,0,$F$10*$T$23%)</f>
        <v>0</v>
      </c>
      <c r="AC42" s="208">
        <f>IF($AC$39=0,0,$F$10*$T$23%)</f>
        <v>0</v>
      </c>
      <c r="AD42" s="208">
        <f>IF($AD$39=0,0,$F$10*$T$23%)</f>
        <v>0</v>
      </c>
      <c r="AE42" s="208"/>
    </row>
    <row r="43" spans="1:31" s="43" customFormat="1" ht="18" customHeight="1">
      <c r="A43" s="75"/>
      <c r="B43" s="83"/>
      <c r="C43" s="84"/>
      <c r="D43" s="657" t="str">
        <f t="shared" si="3"/>
        <v>Add: NDP (Nill Dipp Prem) @ 25%</v>
      </c>
      <c r="E43" s="657"/>
      <c r="F43" s="657"/>
      <c r="G43" s="657"/>
      <c r="H43" s="93" t="str">
        <f t="shared" si="1"/>
        <v>:</v>
      </c>
      <c r="I43" s="94">
        <f t="shared" si="4"/>
        <v>4939</v>
      </c>
      <c r="J43" s="84"/>
      <c r="K43" s="90"/>
      <c r="L43" s="103"/>
      <c r="M43" s="39"/>
      <c r="N43" s="48"/>
      <c r="O43" s="39"/>
      <c r="P43" s="48"/>
      <c r="Q43" s="39"/>
      <c r="R43" s="103"/>
      <c r="S43" s="95">
        <f t="shared" si="5"/>
        <v>5</v>
      </c>
      <c r="T43" s="96">
        <f t="shared" si="2"/>
        <v>5</v>
      </c>
      <c r="U43" s="96">
        <f>LARGE($T$39:$T$52,ROWS(T$39:T43))</f>
        <v>31</v>
      </c>
      <c r="V43" s="96">
        <f t="shared" si="6"/>
        <v>36</v>
      </c>
      <c r="W43" s="208">
        <f>IF($W$39=0,0,IF($W$28=1,500,0))</f>
        <v>0</v>
      </c>
      <c r="X43" s="99">
        <f>IF(W43=0,"","Add: Prem for Geographical Extension")</f>
      </c>
      <c r="Y43" s="201"/>
      <c r="Z43" s="91"/>
      <c r="AA43" s="208">
        <f>IF($AA$39=0,0,IF($W$28=1,500,0))</f>
        <v>0</v>
      </c>
      <c r="AB43" s="208">
        <f>IF($AB$39=0,0,IF($W$28=1,500,0))</f>
        <v>0</v>
      </c>
      <c r="AC43" s="208">
        <f>IF($AC$39=0,0,IF($W$28=1,500,0))</f>
        <v>0</v>
      </c>
      <c r="AD43" s="208">
        <f>IF($AD$39=0,0,IF($W$28=1,500,0))</f>
        <v>0</v>
      </c>
      <c r="AE43" s="208"/>
    </row>
    <row r="44" spans="1:31" s="43" customFormat="1" ht="18" customHeight="1">
      <c r="A44" s="75"/>
      <c r="B44" s="83"/>
      <c r="C44" s="84"/>
      <c r="D44" s="657" t="str">
        <f t="shared" si="3"/>
        <v>Less: Discount on Add-on-Covers (ACD) @ 63%</v>
      </c>
      <c r="E44" s="657"/>
      <c r="F44" s="657"/>
      <c r="G44" s="657"/>
      <c r="H44" s="93" t="str">
        <f t="shared" si="1"/>
        <v>:</v>
      </c>
      <c r="I44" s="94">
        <f t="shared" si="4"/>
        <v>-3112</v>
      </c>
      <c r="J44" s="84"/>
      <c r="K44" s="90"/>
      <c r="L44" s="103"/>
      <c r="M44" s="39"/>
      <c r="N44" s="48"/>
      <c r="O44" s="39"/>
      <c r="P44" s="48"/>
      <c r="Q44" s="39"/>
      <c r="R44" s="103"/>
      <c r="S44" s="95">
        <f t="shared" si="5"/>
        <v>6</v>
      </c>
      <c r="T44" s="96">
        <f t="shared" si="2"/>
        <v>6</v>
      </c>
      <c r="U44" s="96">
        <f>LARGE($T$39:$T$52,ROWS(T$39:T44))</f>
        <v>29</v>
      </c>
      <c r="V44" s="96">
        <f t="shared" si="6"/>
        <v>35</v>
      </c>
      <c r="W44" s="208">
        <f>IF($W$39=0,0,$E$10*4%)</f>
        <v>0</v>
      </c>
      <c r="X44" s="99">
        <f>IF(W44=0,"","Add: Prem @ 4% for Ele Accessories' Value")</f>
      </c>
      <c r="Y44" s="201"/>
      <c r="Z44" s="91"/>
      <c r="AA44" s="208">
        <f>IF($AA$39=0,0,$E$10*4%)</f>
        <v>0</v>
      </c>
      <c r="AB44" s="208">
        <f>IF($AB$39=0,0,$E$10*4%)</f>
        <v>0</v>
      </c>
      <c r="AC44" s="208">
        <f>IF($AC$39=0,0,$E$10*4%)</f>
        <v>0</v>
      </c>
      <c r="AD44" s="208">
        <f>IF($AD$39=0,0,$E$10*4%)</f>
        <v>0</v>
      </c>
      <c r="AE44" s="208"/>
    </row>
    <row r="45" spans="1:31" s="43" customFormat="1" ht="18" customHeight="1">
      <c r="A45" s="75"/>
      <c r="B45" s="83"/>
      <c r="C45" s="84"/>
      <c r="D45" s="657" t="str">
        <f t="shared" si="3"/>
        <v>Less: NCB @ 20% (Subject to No Claim)</v>
      </c>
      <c r="E45" s="657"/>
      <c r="F45" s="657"/>
      <c r="G45" s="657"/>
      <c r="H45" s="93" t="str">
        <f t="shared" si="1"/>
        <v>:</v>
      </c>
      <c r="I45" s="94">
        <f t="shared" si="4"/>
        <v>-652</v>
      </c>
      <c r="J45" s="84"/>
      <c r="K45" s="90"/>
      <c r="L45" s="103"/>
      <c r="M45" s="110"/>
      <c r="N45" s="41"/>
      <c r="O45" s="110"/>
      <c r="P45" s="41"/>
      <c r="Q45" s="110"/>
      <c r="R45" s="103"/>
      <c r="S45" s="95">
        <f t="shared" si="5"/>
        <v>7</v>
      </c>
      <c r="T45" s="96">
        <f t="shared" si="2"/>
        <v>7</v>
      </c>
      <c r="U45" s="96">
        <f>LARGE($T$39:$T$52,ROWS(T$39:T45))</f>
        <v>27</v>
      </c>
      <c r="V45" s="96">
        <f t="shared" si="6"/>
        <v>34</v>
      </c>
      <c r="W45" s="208">
        <f>IF($W$39=0,0,IF($K$13=2,0,$F$13*4%))</f>
        <v>0</v>
      </c>
      <c r="X45" s="99">
        <f>IF(W45=0,"",CONCATENATE("Add: Prem @ 4% on Value of CNG/LPG Kit"))</f>
      </c>
      <c r="Y45" s="201"/>
      <c r="Z45" s="91"/>
      <c r="AA45" s="208">
        <f>IF($AA$39=0,0,IF($K$13=2,0,$F$13*4%))</f>
        <v>0</v>
      </c>
      <c r="AB45" s="208">
        <f>IF($AB$39=0,0,IF($K$13=2,0,$F$13*4%))</f>
        <v>0</v>
      </c>
      <c r="AC45" s="208">
        <f>IF($AC$39=0,0,IF($K$13=2,0,$F$13*4%))</f>
        <v>0</v>
      </c>
      <c r="AD45" s="208">
        <f>IF($AD$39=0,0,IF($K$13=2,0,$F$13*4%))</f>
        <v>0</v>
      </c>
      <c r="AE45" s="208"/>
    </row>
    <row r="46" spans="1:31" s="43" customFormat="1" ht="18" customHeight="1">
      <c r="A46" s="75"/>
      <c r="B46" s="83"/>
      <c r="C46" s="84"/>
      <c r="D46" s="657">
        <f t="shared" si="3"/>
      </c>
      <c r="E46" s="657"/>
      <c r="F46" s="657"/>
      <c r="G46" s="657"/>
      <c r="H46" s="93">
        <f t="shared" si="1"/>
      </c>
      <c r="I46" s="94">
        <f t="shared" si="4"/>
      </c>
      <c r="J46" s="84"/>
      <c r="K46" s="90"/>
      <c r="L46" s="103"/>
      <c r="M46" s="110"/>
      <c r="N46" s="41"/>
      <c r="O46" s="110"/>
      <c r="P46" s="41"/>
      <c r="Q46" s="110"/>
      <c r="R46" s="103"/>
      <c r="S46" s="95">
        <f t="shared" si="5"/>
        <v>8</v>
      </c>
      <c r="T46" s="96">
        <f t="shared" si="2"/>
        <v>33</v>
      </c>
      <c r="U46" s="96">
        <f>LARGE($T$39:$T$52,ROWS(T$39:T46))</f>
        <v>13</v>
      </c>
      <c r="V46" s="96">
        <f t="shared" si="6"/>
        <v>33</v>
      </c>
      <c r="W46" s="208">
        <f>ROUND(IF($W$39=0,0,IF($K$19=1,(SUM($W$39:$W$45)*0.15),0)),2)</f>
        <v>2963.25</v>
      </c>
      <c r="X46" s="99" t="str">
        <f>IF(W46=0,"",CONCATENATE("Add: IMT 23 (Coverage for IMT 21 Exclusions)"))</f>
        <v>Add: IMT 23 (Coverage for IMT 21 Exclusions)</v>
      </c>
      <c r="Y46" s="201"/>
      <c r="Z46" s="91"/>
      <c r="AA46" s="208">
        <f>ROUND(IF($AA$39=0,0,(SUM($AA$39:$AA$45)*0.15)),2)</f>
        <v>2963.25</v>
      </c>
      <c r="AB46" s="208">
        <f>ROUND(IF($AB$39=0,0,(SUM($AB$39:$AB$45)*0.15)),2)</f>
        <v>2963.25</v>
      </c>
      <c r="AC46" s="208">
        <f>ROUND(IF($AC$39=0,0,(SUM($AC$39:$AC$45)*0.15)),2)</f>
        <v>2963.25</v>
      </c>
      <c r="AD46" s="208">
        <v>0</v>
      </c>
      <c r="AE46" s="208"/>
    </row>
    <row r="47" spans="1:31" s="43" customFormat="1" ht="18" customHeight="1">
      <c r="A47" s="75"/>
      <c r="B47" s="83"/>
      <c r="C47" s="84"/>
      <c r="D47" s="657">
        <f t="shared" si="3"/>
      </c>
      <c r="E47" s="657"/>
      <c r="F47" s="657"/>
      <c r="G47" s="657"/>
      <c r="H47" s="93">
        <f t="shared" si="1"/>
      </c>
      <c r="I47" s="94">
        <f t="shared" si="4"/>
      </c>
      <c r="J47" s="84"/>
      <c r="K47" s="90"/>
      <c r="L47" s="103"/>
      <c r="M47" s="110"/>
      <c r="N47" s="41"/>
      <c r="O47" s="110"/>
      <c r="P47" s="41"/>
      <c r="Q47" s="110"/>
      <c r="R47" s="103"/>
      <c r="S47" s="95">
        <f t="shared" si="5"/>
        <v>9</v>
      </c>
      <c r="T47" s="96">
        <f t="shared" si="2"/>
        <v>32</v>
      </c>
      <c r="U47" s="96">
        <f>LARGE($T$39:$T$52,ROWS(T$39:T47))</f>
        <v>11</v>
      </c>
      <c r="V47" s="96">
        <f t="shared" si="6"/>
        <v>32</v>
      </c>
      <c r="W47" s="208">
        <f>-ROUND(SUM($W$39:$W$46,-$W$43)*$I$16%,0)</f>
        <v>-21285</v>
      </c>
      <c r="X47" s="99" t="str">
        <f>IF(W47=0,"",(CONCATENATE("Less: U/w (De-Tariff) Discount @ ",I16,"%")))</f>
        <v>Less: U/w (De-Tariff) Discount @ 93.69%</v>
      </c>
      <c r="Y47" s="201"/>
      <c r="Z47" s="91"/>
      <c r="AA47" s="208">
        <f>-ROUND(SUM($AA$39:$AA$46,-$AA$43)*$I$16%,0)</f>
        <v>-21285</v>
      </c>
      <c r="AB47" s="208">
        <f>-ROUND(SUM($AB$39:$AB$46,-$AB$43)*$I$16%,0)</f>
        <v>-21285</v>
      </c>
      <c r="AC47" s="208">
        <f>-ROUND(SUM($AC$39:$AC$46,-$AC$43)*$I$16%,0)</f>
        <v>-21285</v>
      </c>
      <c r="AD47" s="208">
        <f>-ROUND(SUM($AD$39:$AD$46,-$AD$43)*$I$16%,0)</f>
        <v>-18508</v>
      </c>
      <c r="AE47" s="208"/>
    </row>
    <row r="48" spans="1:31" s="43" customFormat="1" ht="18" customHeight="1">
      <c r="A48" s="75"/>
      <c r="B48" s="83"/>
      <c r="C48" s="84"/>
      <c r="D48" s="657">
        <f t="shared" si="3"/>
      </c>
      <c r="E48" s="657"/>
      <c r="F48" s="657"/>
      <c r="G48" s="657"/>
      <c r="H48" s="93">
        <f t="shared" si="1"/>
      </c>
      <c r="I48" s="94">
        <f t="shared" si="4"/>
      </c>
      <c r="J48" s="84"/>
      <c r="K48" s="90"/>
      <c r="L48" s="103"/>
      <c r="M48" s="110"/>
      <c r="N48" s="41"/>
      <c r="O48" s="110"/>
      <c r="P48" s="41"/>
      <c r="Q48" s="110"/>
      <c r="R48" s="103"/>
      <c r="S48" s="95">
        <f t="shared" si="5"/>
        <v>10</v>
      </c>
      <c r="T48" s="96">
        <f t="shared" si="2"/>
        <v>31</v>
      </c>
      <c r="U48" s="96">
        <f>LARGE($T$39:$T$52,ROWS(T$39:T48))</f>
        <v>7</v>
      </c>
      <c r="V48" s="96">
        <f t="shared" si="6"/>
        <v>31</v>
      </c>
      <c r="W48" s="208">
        <f>ROUND(IF($K$11=3,0,(SUM($W$39:$W$45)*$Y$23%)),0)</f>
        <v>4939</v>
      </c>
      <c r="X48" s="99" t="str">
        <f>IF(W48=0,"",(CONCATENATE("Add: NDP (Nill Dipp Prem) @ ",Y23,"%")))</f>
        <v>Add: NDP (Nill Dipp Prem) @ 25%</v>
      </c>
      <c r="Y48" s="201"/>
      <c r="Z48" s="91"/>
      <c r="AA48" s="208">
        <f>ROUND(SUM($AA$39:$AA$45)*$Y$29%,0)</f>
        <v>4939</v>
      </c>
      <c r="AB48" s="208"/>
      <c r="AC48" s="208">
        <f>ROUND(SUM($AC$39:$AC$45)*$Y$29%,0)</f>
        <v>4939</v>
      </c>
      <c r="AD48" s="208"/>
      <c r="AE48" s="208"/>
    </row>
    <row r="49" spans="1:31" s="43" customFormat="1" ht="18" customHeight="1">
      <c r="A49" s="75"/>
      <c r="B49" s="83"/>
      <c r="C49" s="84"/>
      <c r="D49" s="657">
        <f t="shared" si="3"/>
      </c>
      <c r="E49" s="657"/>
      <c r="F49" s="657"/>
      <c r="G49" s="657"/>
      <c r="H49" s="93">
        <f t="shared" si="1"/>
      </c>
      <c r="I49" s="94">
        <f t="shared" si="4"/>
      </c>
      <c r="J49" s="84"/>
      <c r="K49" s="90"/>
      <c r="L49" s="103"/>
      <c r="M49" s="110"/>
      <c r="N49" s="41"/>
      <c r="O49" s="110"/>
      <c r="P49" s="41"/>
      <c r="Q49" s="110"/>
      <c r="R49" s="103"/>
      <c r="S49" s="95">
        <f t="shared" si="5"/>
        <v>11</v>
      </c>
      <c r="T49" s="96">
        <f t="shared" si="2"/>
        <v>11</v>
      </c>
      <c r="U49" s="96">
        <f>LARGE($T$39:$T$52,ROWS(T$39:T49))</f>
        <v>6</v>
      </c>
      <c r="V49" s="96">
        <f t="shared" si="6"/>
        <v>30</v>
      </c>
      <c r="W49" s="208">
        <f>ROUND(IF($K$12=1,($D$10+$F$10)*$Z$23%,0),0)</f>
        <v>0</v>
      </c>
      <c r="X49" s="99">
        <f>IF(W49=0,"",(CONCATENATE("Add: RTI Prem (Return Invoice Price) @ ",Z23,"%")))</f>
      </c>
      <c r="Y49" s="201"/>
      <c r="Z49" s="91"/>
      <c r="AA49" s="208">
        <f>ROUND((($D$10+$F$10)*$Z$29%),0)</f>
        <v>6369</v>
      </c>
      <c r="AB49" s="208">
        <f>ROUND((($D$10+$F$10)*$Z$29%),0)</f>
        <v>6369</v>
      </c>
      <c r="AC49" s="208"/>
      <c r="AD49" s="208"/>
      <c r="AE49" s="208"/>
    </row>
    <row r="50" spans="1:31" s="43" customFormat="1" ht="18" customHeight="1">
      <c r="A50" s="75"/>
      <c r="B50" s="83"/>
      <c r="C50" s="84"/>
      <c r="D50" s="657">
        <f t="shared" si="3"/>
      </c>
      <c r="E50" s="657"/>
      <c r="F50" s="657"/>
      <c r="G50" s="657"/>
      <c r="H50" s="93">
        <f t="shared" si="1"/>
      </c>
      <c r="I50" s="94">
        <f t="shared" si="4"/>
      </c>
      <c r="J50" s="84"/>
      <c r="K50" s="90"/>
      <c r="L50" s="103"/>
      <c r="M50" s="110"/>
      <c r="N50" s="41"/>
      <c r="O50" s="110"/>
      <c r="P50" s="41"/>
      <c r="Q50" s="110"/>
      <c r="R50" s="103"/>
      <c r="S50" s="95">
        <f t="shared" si="5"/>
        <v>12</v>
      </c>
      <c r="T50" s="96">
        <f t="shared" si="2"/>
        <v>29</v>
      </c>
      <c r="U50" s="96">
        <f>LARGE($T$39:$T$52,ROWS(T$39:T50))</f>
        <v>5</v>
      </c>
      <c r="V50" s="96">
        <f t="shared" si="6"/>
        <v>29</v>
      </c>
      <c r="W50" s="209">
        <f>-ROUND(($W$48+$W$49)*$Y$27%,0)</f>
        <v>-3112</v>
      </c>
      <c r="X50" s="99" t="str">
        <f>IF(W50=0,"",(CONCATENATE("Less: Discount on Add-on-Covers (ACD) @ ",Y27,"%")))</f>
        <v>Less: Discount on Add-on-Covers (ACD) @ 63%</v>
      </c>
      <c r="Y50" s="201"/>
      <c r="Z50" s="91"/>
      <c r="AA50" s="209">
        <f>-ROUND(($AA$48+$AA$49)*$Y$27%,0)</f>
        <v>-7124</v>
      </c>
      <c r="AB50" s="209">
        <f>-ROUND(($AB$48+$AB$49)*$Y$27%,0)</f>
        <v>-4012</v>
      </c>
      <c r="AC50" s="209">
        <f>-ROUND(($AC$48+$AC$49)*$Y$27%,0)</f>
        <v>-3112</v>
      </c>
      <c r="AD50" s="209"/>
      <c r="AE50" s="209">
        <f>-ROUND(($AE$48+$AE$49)*$Y$27%,0)</f>
        <v>0</v>
      </c>
    </row>
    <row r="51" spans="1:31" s="43" customFormat="1" ht="18" customHeight="1">
      <c r="A51" s="75"/>
      <c r="B51" s="83"/>
      <c r="C51" s="84"/>
      <c r="D51" s="657">
        <f t="shared" si="3"/>
      </c>
      <c r="E51" s="657"/>
      <c r="F51" s="657"/>
      <c r="G51" s="657"/>
      <c r="H51" s="93">
        <f t="shared" si="1"/>
      </c>
      <c r="I51" s="94">
        <f t="shared" si="4"/>
      </c>
      <c r="J51" s="84"/>
      <c r="K51" s="90"/>
      <c r="L51" s="103"/>
      <c r="M51" s="110"/>
      <c r="N51" s="41"/>
      <c r="O51" s="110"/>
      <c r="P51" s="41"/>
      <c r="Q51" s="110"/>
      <c r="R51" s="103"/>
      <c r="S51" s="95">
        <f t="shared" si="5"/>
        <v>13</v>
      </c>
      <c r="T51" s="96">
        <f t="shared" si="2"/>
        <v>13</v>
      </c>
      <c r="U51" s="96">
        <f>LARGE($T$39:$T$52,ROWS(T$39:T51))</f>
        <v>4</v>
      </c>
      <c r="V51" s="96">
        <f t="shared" si="6"/>
        <v>28</v>
      </c>
      <c r="W51" s="208">
        <f>-MIN(ROUND(IF($V$28=1,((SUM($W$39:$W$47))*2.5%),0),2),500)</f>
        <v>0</v>
      </c>
      <c r="X51" s="99">
        <f>IF(W51=0,"",(CONCATENATE("Less: Discount for Anti Theft Devices")))</f>
      </c>
      <c r="Y51" s="201"/>
      <c r="Z51" s="91"/>
      <c r="AA51" s="208">
        <f>-MIN(ROUND(IF($V$28=1,((SUM($AA$39:$AA$47))*2.5%),0),2),500)</f>
        <v>0</v>
      </c>
      <c r="AB51" s="208">
        <f>-MIN(ROUND(IF($V$28=1,((SUM($AB$39:$AB$47))*2.5%),0),2),500)</f>
        <v>0</v>
      </c>
      <c r="AC51" s="208">
        <f>-MIN(ROUND(IF($V$28=1,((SUM($AC$39:$AC$47))*2.5%),0),2),500)</f>
        <v>0</v>
      </c>
      <c r="AD51" s="208">
        <f>-MIN(ROUND(IF($V$28=1,((SUM($AD$39:$AD$47))*2.5%),0),2),500)</f>
        <v>0</v>
      </c>
      <c r="AE51" s="208">
        <f>-MIN(ROUND(IF($V$28=1,((SUM($AE$39:$AE$47))*2.5%),0),2),500)</f>
        <v>0</v>
      </c>
    </row>
    <row r="52" spans="1:31" s="43" customFormat="1" ht="18" customHeight="1">
      <c r="A52" s="75"/>
      <c r="B52" s="83"/>
      <c r="C52" s="84"/>
      <c r="D52" s="657">
        <f t="shared" si="3"/>
      </c>
      <c r="E52" s="657"/>
      <c r="F52" s="657"/>
      <c r="G52" s="657"/>
      <c r="H52" s="93">
        <f t="shared" si="1"/>
      </c>
      <c r="I52" s="94">
        <f t="shared" si="4"/>
      </c>
      <c r="J52" s="84"/>
      <c r="K52" s="90"/>
      <c r="L52" s="103"/>
      <c r="M52" s="110"/>
      <c r="N52" s="110"/>
      <c r="O52" s="110"/>
      <c r="P52" s="41"/>
      <c r="Q52" s="110"/>
      <c r="R52" s="103"/>
      <c r="S52" s="95">
        <f t="shared" si="5"/>
        <v>14</v>
      </c>
      <c r="T52" s="96">
        <f t="shared" si="2"/>
        <v>27</v>
      </c>
      <c r="U52" s="96">
        <f>LARGE($T$39:$T$52,ROWS(T$39:T52))</f>
        <v>3</v>
      </c>
      <c r="V52" s="96">
        <f t="shared" si="6"/>
        <v>27</v>
      </c>
      <c r="W52" s="208">
        <f>-ROUND(SUM($W$39:$W$51,-$W$49)*$G$16%,0)</f>
        <v>-652</v>
      </c>
      <c r="X52" s="99" t="str">
        <f>IF(W52=0,"",(CONCATENATE("Less: NCB @ ",G16,"% (Subject to No Claim)")))</f>
        <v>Less: NCB @ 20% (Subject to No Claim)</v>
      </c>
      <c r="Y52" s="201"/>
      <c r="Z52" s="91"/>
      <c r="AA52" s="208">
        <f>-ROUND(SUM($AA$39:$AA$51,-$AA$49)*$G$16%,0)</f>
        <v>150</v>
      </c>
      <c r="AB52" s="208">
        <f>-ROUND(SUM($AB$39:$AB$51,-$AB$49)*$G$16%,0)</f>
        <v>516</v>
      </c>
      <c r="AC52" s="208">
        <f>-ROUND(SUM($AC$39:$AC$51,-$AC$49)*$G$16%,0)</f>
        <v>-652</v>
      </c>
      <c r="AD52" s="208">
        <f>-ROUND(SUM($AD$39:$AD$51,-$AD$49)*$G$16%,0)</f>
        <v>-249</v>
      </c>
      <c r="AE52" s="208">
        <f>-ROUND(SUM($AE$39:$AE$51,-$AE$49)*$G$16%,0)</f>
        <v>0</v>
      </c>
    </row>
    <row r="53" spans="1:31" s="43" customFormat="1" ht="18" customHeight="1">
      <c r="A53" s="75"/>
      <c r="B53" s="83"/>
      <c r="C53" s="84"/>
      <c r="D53" s="658" t="str">
        <f>IF(I53=100,"Net Own Damage Premium (Min Prem)","Net Own Damage Premium")</f>
        <v>Net Own Damage Premium</v>
      </c>
      <c r="E53" s="658"/>
      <c r="F53" s="658"/>
      <c r="G53" s="316"/>
      <c r="H53" s="101" t="s">
        <v>106</v>
      </c>
      <c r="I53" s="102">
        <f>W53</f>
        <v>2608</v>
      </c>
      <c r="J53" s="84"/>
      <c r="K53" s="90"/>
      <c r="L53" s="103"/>
      <c r="M53" s="110"/>
      <c r="N53" s="103">
        <f>ROUND(I53*15%,0)</f>
        <v>391</v>
      </c>
      <c r="O53" s="110"/>
      <c r="P53" s="41"/>
      <c r="Q53" s="110"/>
      <c r="R53" s="103"/>
      <c r="S53" s="95"/>
      <c r="T53" s="201"/>
      <c r="U53" s="201"/>
      <c r="V53" s="201"/>
      <c r="W53" s="208">
        <f>ROUND(IF($W$39=0,0,IF($D$10=0,0,(MAX((SUM($W$39:$W$52)),100)))),0)</f>
        <v>2608</v>
      </c>
      <c r="X53" s="204"/>
      <c r="Y53" s="201"/>
      <c r="Z53" s="91"/>
      <c r="AA53" s="303">
        <f>ROUND(IF($AA$39=0,0,IF($D$10=0,0,(MAX((SUM($AA$39:$AA$52)),100)))),0)</f>
        <v>5767</v>
      </c>
      <c r="AB53" s="303">
        <f>ROUND(IF($AB$39=0,0,IF($D$10=0,0,(MAX((SUM($AB$39:$AB$52)),100)))),0)</f>
        <v>4306</v>
      </c>
      <c r="AC53" s="303">
        <f>ROUND(IF($AC$39=0,0,IF($D$10=0,0,(MAX((SUM($AC$39:$AC$52)),100)))),0)</f>
        <v>2608</v>
      </c>
      <c r="AD53" s="303">
        <f>ROUND(IF($AD$39=0,0,IF($D$10=0,0,(MAX((SUM($AD$39:$AD$52)),100)))),0)</f>
        <v>998</v>
      </c>
      <c r="AE53" s="303">
        <f>ROUND(IF($AE$39=0,0,IF($D$10=0,0,(MAX((SUM($AE$39:$AE$52)),100)))),0)</f>
        <v>0</v>
      </c>
    </row>
    <row r="54" spans="1:31" s="43" customFormat="1" ht="18" customHeight="1">
      <c r="A54" s="75"/>
      <c r="B54" s="83"/>
      <c r="C54" s="84"/>
      <c r="D54" s="657" t="str">
        <f aca="true" t="shared" si="7" ref="D54:D61">IF(U54&lt;24,"",(VLOOKUP(U54,$V$54:$X$61,3,0)))</f>
        <v>Basic Third Party Premium</v>
      </c>
      <c r="E54" s="657"/>
      <c r="F54" s="657"/>
      <c r="G54" s="657"/>
      <c r="H54" s="93" t="str">
        <f t="shared" si="1"/>
        <v>:</v>
      </c>
      <c r="I54" s="94">
        <f aca="true" t="shared" si="8" ref="I54:I61">IF(U54&lt;24,"",VLOOKUP(U54,$V$54:$X$61,2,0))</f>
        <v>39849</v>
      </c>
      <c r="J54" s="84"/>
      <c r="K54" s="90"/>
      <c r="L54" s="103"/>
      <c r="M54" s="110"/>
      <c r="N54" s="103">
        <f>ROUND(I62*2.5%,0)</f>
        <v>1004</v>
      </c>
      <c r="O54" s="110"/>
      <c r="P54" s="41"/>
      <c r="Q54" s="110"/>
      <c r="R54" s="103"/>
      <c r="S54" s="95">
        <v>1</v>
      </c>
      <c r="T54" s="96">
        <f aca="true" t="shared" si="9" ref="T54:T61">IF(W54=0,S54,V54)</f>
        <v>40</v>
      </c>
      <c r="U54" s="96">
        <f>LARGE($T$54:$T$61,ROWS(T$54:T54))</f>
        <v>40</v>
      </c>
      <c r="V54" s="96">
        <v>40</v>
      </c>
      <c r="W54" s="208">
        <f>$V$23</f>
        <v>39849</v>
      </c>
      <c r="X54" s="99" t="s">
        <v>116</v>
      </c>
      <c r="Y54" s="201"/>
      <c r="Z54" s="91"/>
      <c r="AA54" s="208">
        <f>$V$23</f>
        <v>39849</v>
      </c>
      <c r="AB54" s="208">
        <f>$V$23</f>
        <v>39849</v>
      </c>
      <c r="AC54" s="208">
        <f>$V$23</f>
        <v>39849</v>
      </c>
      <c r="AD54" s="208">
        <f>$V$23</f>
        <v>39849</v>
      </c>
      <c r="AE54" s="208">
        <f>$V$23</f>
        <v>39849</v>
      </c>
    </row>
    <row r="55" spans="1:31" s="43" customFormat="1" ht="18" customHeight="1">
      <c r="A55" s="75"/>
      <c r="B55" s="83"/>
      <c r="C55" s="84"/>
      <c r="D55" s="657" t="str">
        <f t="shared" si="7"/>
        <v>Owner Driver Compulsory PA @ 15,00,000</v>
      </c>
      <c r="E55" s="657"/>
      <c r="F55" s="657"/>
      <c r="G55" s="657"/>
      <c r="H55" s="93" t="str">
        <f t="shared" si="1"/>
        <v>:</v>
      </c>
      <c r="I55" s="94">
        <f t="shared" si="8"/>
        <v>320</v>
      </c>
      <c r="J55" s="84"/>
      <c r="K55" s="90"/>
      <c r="L55" s="103"/>
      <c r="M55" s="110"/>
      <c r="N55" s="103">
        <f>IF(I7&gt;3,(N53+N54),N53)</f>
        <v>391</v>
      </c>
      <c r="O55" s="110"/>
      <c r="P55" s="41"/>
      <c r="Q55" s="110"/>
      <c r="R55" s="103"/>
      <c r="S55" s="95">
        <f>S54+1</f>
        <v>2</v>
      </c>
      <c r="T55" s="96">
        <f t="shared" si="9"/>
        <v>2</v>
      </c>
      <c r="U55" s="96">
        <f>LARGE($T$54:$T$61,ROWS(T$54:T55))</f>
        <v>38</v>
      </c>
      <c r="V55" s="96">
        <f>V54-1</f>
        <v>39</v>
      </c>
      <c r="W55" s="208">
        <f>$K$15*$X$23</f>
        <v>0</v>
      </c>
      <c r="X55" s="99">
        <f>IF(W55=0,"",CONCATENATE("Add: Legal Liability to (",(K15),") Tralor(s)"))</f>
      </c>
      <c r="Y55" s="201"/>
      <c r="Z55" s="91"/>
      <c r="AA55" s="208">
        <f>$K$15*$X$23</f>
        <v>0</v>
      </c>
      <c r="AB55" s="208">
        <f>$K$15*$X$23</f>
        <v>0</v>
      </c>
      <c r="AC55" s="208">
        <f>$K$15*$X$23</f>
        <v>0</v>
      </c>
      <c r="AD55" s="208">
        <f>$K$15*$X$23</f>
        <v>0</v>
      </c>
      <c r="AE55" s="208">
        <f>$K$15*$X$23</f>
        <v>0</v>
      </c>
    </row>
    <row r="56" spans="1:31" s="43" customFormat="1" ht="18" customHeight="1">
      <c r="A56" s="75"/>
      <c r="B56" s="83"/>
      <c r="C56" s="84"/>
      <c r="D56" s="657" t="str">
        <f t="shared" si="7"/>
        <v>Add: Legal Liability to (4) Employees</v>
      </c>
      <c r="E56" s="657"/>
      <c r="F56" s="657"/>
      <c r="G56" s="657"/>
      <c r="H56" s="93" t="str">
        <f t="shared" si="1"/>
        <v>:</v>
      </c>
      <c r="I56" s="94">
        <f t="shared" si="8"/>
        <v>200</v>
      </c>
      <c r="J56" s="84"/>
      <c r="K56" s="90"/>
      <c r="L56" s="103"/>
      <c r="M56" s="110"/>
      <c r="N56" s="41"/>
      <c r="O56" s="110"/>
      <c r="P56" s="41"/>
      <c r="Q56" s="110"/>
      <c r="R56" s="103"/>
      <c r="S56" s="95">
        <f aca="true" t="shared" si="10" ref="S56:S61">S55+1</f>
        <v>3</v>
      </c>
      <c r="T56" s="96">
        <f t="shared" si="9"/>
        <v>38</v>
      </c>
      <c r="U56" s="96">
        <f>LARGE($T$54:$T$61,ROWS(T$54:T56))</f>
        <v>37</v>
      </c>
      <c r="V56" s="96">
        <f aca="true" t="shared" si="11" ref="V56:V61">V55-1</f>
        <v>38</v>
      </c>
      <c r="W56" s="208">
        <f>IF($T$28=1,320,0)</f>
        <v>320</v>
      </c>
      <c r="X56" s="99" t="str">
        <f>IF(W56=0,"","Owner Driver Compulsory PA @ 15,00,000")</f>
        <v>Owner Driver Compulsory PA @ 15,00,000</v>
      </c>
      <c r="Y56" s="201"/>
      <c r="Z56" s="91"/>
      <c r="AA56" s="208">
        <f>IF($T$28=1,320,0)</f>
        <v>320</v>
      </c>
      <c r="AB56" s="208">
        <f>IF($T$28=1,320,0)</f>
        <v>320</v>
      </c>
      <c r="AC56" s="208">
        <f>IF($T$28=1,320,0)</f>
        <v>320</v>
      </c>
      <c r="AD56" s="208">
        <f>IF($T$28=1,320,0)</f>
        <v>320</v>
      </c>
      <c r="AE56" s="208">
        <f>IF($T$28=1,320,0)</f>
        <v>320</v>
      </c>
    </row>
    <row r="57" spans="1:31" s="43" customFormat="1" ht="18" customHeight="1">
      <c r="A57" s="75"/>
      <c r="B57" s="83"/>
      <c r="C57" s="84"/>
      <c r="D57" s="657" t="str">
        <f t="shared" si="7"/>
        <v>Less: Prem on Limiting TPPD upto Rs.6000/-</v>
      </c>
      <c r="E57" s="657"/>
      <c r="F57" s="657"/>
      <c r="G57" s="657"/>
      <c r="H57" s="93" t="str">
        <f t="shared" si="1"/>
        <v>:</v>
      </c>
      <c r="I57" s="94">
        <f t="shared" si="8"/>
        <v>-200</v>
      </c>
      <c r="J57" s="84"/>
      <c r="K57" s="90"/>
      <c r="L57" s="103"/>
      <c r="M57" s="110"/>
      <c r="N57" s="41"/>
      <c r="O57" s="110"/>
      <c r="P57" s="41"/>
      <c r="Q57" s="110"/>
      <c r="R57" s="103"/>
      <c r="S57" s="95">
        <f t="shared" si="10"/>
        <v>4</v>
      </c>
      <c r="T57" s="96">
        <f t="shared" si="9"/>
        <v>37</v>
      </c>
      <c r="U57" s="96">
        <f>LARGE($T$54:$T$61,ROWS(T$54:T57))</f>
        <v>33</v>
      </c>
      <c r="V57" s="96">
        <f t="shared" si="11"/>
        <v>37</v>
      </c>
      <c r="W57" s="208">
        <f>$K$16*50</f>
        <v>200</v>
      </c>
      <c r="X57" s="99" t="str">
        <f>IF(W57=0,"",CONCATENATE("Add: Legal Liability to (",(K16),") Employees"))</f>
        <v>Add: Legal Liability to (4) Employees</v>
      </c>
      <c r="Y57" s="201"/>
      <c r="Z57" s="91"/>
      <c r="AA57" s="208">
        <f>$K$16*50</f>
        <v>200</v>
      </c>
      <c r="AB57" s="208">
        <f>$K$16*50</f>
        <v>200</v>
      </c>
      <c r="AC57" s="208">
        <f>$K$16*50</f>
        <v>200</v>
      </c>
      <c r="AD57" s="208">
        <f>$K$16*50</f>
        <v>200</v>
      </c>
      <c r="AE57" s="208">
        <f>$K$16*50</f>
        <v>200</v>
      </c>
    </row>
    <row r="58" spans="1:31" s="43" customFormat="1" ht="18" customHeight="1">
      <c r="A58" s="75"/>
      <c r="B58" s="83"/>
      <c r="C58" s="84"/>
      <c r="D58" s="657">
        <f t="shared" si="7"/>
      </c>
      <c r="E58" s="657"/>
      <c r="F58" s="657"/>
      <c r="G58" s="657"/>
      <c r="H58" s="93">
        <f t="shared" si="1"/>
      </c>
      <c r="I58" s="94">
        <f t="shared" si="8"/>
      </c>
      <c r="J58" s="84"/>
      <c r="K58" s="90"/>
      <c r="L58" s="103"/>
      <c r="M58" s="110"/>
      <c r="N58" s="41"/>
      <c r="O58" s="110"/>
      <c r="P58" s="41"/>
      <c r="Q58" s="110"/>
      <c r="R58" s="103"/>
      <c r="S58" s="95">
        <f t="shared" si="10"/>
        <v>5</v>
      </c>
      <c r="T58" s="96">
        <f t="shared" si="9"/>
        <v>5</v>
      </c>
      <c r="U58" s="96">
        <f>LARGE($T$54:$T$61,ROWS(T$54:T58))</f>
        <v>7</v>
      </c>
      <c r="V58" s="96">
        <f t="shared" si="11"/>
        <v>36</v>
      </c>
      <c r="W58" s="208">
        <f>$K$17*75</f>
        <v>0</v>
      </c>
      <c r="X58" s="99">
        <f>IF(W58=0,"",CONCATENATE("Add: NFPP to (",(K17),") Non-Fare Paying Pass"))</f>
      </c>
      <c r="Y58" s="201"/>
      <c r="Z58" s="91"/>
      <c r="AA58" s="208">
        <f>$K$17*75</f>
        <v>0</v>
      </c>
      <c r="AB58" s="208">
        <f>$K$17*75</f>
        <v>0</v>
      </c>
      <c r="AC58" s="208">
        <f>$K$17*75</f>
        <v>0</v>
      </c>
      <c r="AD58" s="208">
        <f>$K$17*75</f>
        <v>0</v>
      </c>
      <c r="AE58" s="208">
        <f>$K$17*75</f>
        <v>0</v>
      </c>
    </row>
    <row r="59" spans="1:31" s="43" customFormat="1" ht="18" customHeight="1">
      <c r="A59" s="75"/>
      <c r="B59" s="83"/>
      <c r="C59" s="84"/>
      <c r="D59" s="657">
        <f t="shared" si="7"/>
      </c>
      <c r="E59" s="657"/>
      <c r="F59" s="657"/>
      <c r="G59" s="657"/>
      <c r="H59" s="93">
        <f t="shared" si="1"/>
      </c>
      <c r="I59" s="94">
        <f t="shared" si="8"/>
      </c>
      <c r="J59" s="84"/>
      <c r="K59" s="90"/>
      <c r="L59" s="103"/>
      <c r="M59" s="110"/>
      <c r="N59" s="41"/>
      <c r="O59" s="110"/>
      <c r="P59" s="41"/>
      <c r="Q59" s="110"/>
      <c r="R59" s="103"/>
      <c r="S59" s="95">
        <f t="shared" si="10"/>
        <v>6</v>
      </c>
      <c r="T59" s="96">
        <f t="shared" si="9"/>
        <v>6</v>
      </c>
      <c r="U59" s="96">
        <f>LARGE($T$54:$T$61,ROWS(T$54:T59))</f>
        <v>6</v>
      </c>
      <c r="V59" s="96">
        <f t="shared" si="11"/>
        <v>35</v>
      </c>
      <c r="W59" s="208">
        <f>$K$18*25</f>
        <v>0</v>
      </c>
      <c r="X59" s="99">
        <f>IF(W59=0,"",CONCATENATE("Add: Legal Liability to (",(K18),") Coolies"))</f>
      </c>
      <c r="Y59" s="201"/>
      <c r="Z59" s="91"/>
      <c r="AA59" s="208">
        <f>$K$18*25</f>
        <v>0</v>
      </c>
      <c r="AB59" s="208">
        <f>$K$18*25</f>
        <v>0</v>
      </c>
      <c r="AC59" s="208">
        <f>$K$18*25</f>
        <v>0</v>
      </c>
      <c r="AD59" s="208">
        <f>$K$18*25</f>
        <v>0</v>
      </c>
      <c r="AE59" s="208">
        <f>$K$18*25</f>
        <v>0</v>
      </c>
    </row>
    <row r="60" spans="1:31" s="43" customFormat="1" ht="18" customHeight="1">
      <c r="A60" s="75"/>
      <c r="B60" s="83"/>
      <c r="C60" s="84"/>
      <c r="D60" s="657">
        <f t="shared" si="7"/>
      </c>
      <c r="E60" s="657"/>
      <c r="F60" s="657"/>
      <c r="G60" s="657"/>
      <c r="H60" s="93">
        <f t="shared" si="1"/>
      </c>
      <c r="I60" s="94">
        <f t="shared" si="8"/>
      </c>
      <c r="J60" s="84"/>
      <c r="K60" s="90"/>
      <c r="L60" s="103"/>
      <c r="M60" s="110"/>
      <c r="N60" s="41"/>
      <c r="O60" s="110"/>
      <c r="P60" s="41"/>
      <c r="Q60" s="110"/>
      <c r="R60" s="103"/>
      <c r="S60" s="95">
        <f t="shared" si="10"/>
        <v>7</v>
      </c>
      <c r="T60" s="96">
        <f t="shared" si="9"/>
        <v>7</v>
      </c>
      <c r="U60" s="96">
        <f>LARGE($T$54:$T$61,ROWS(T$54:T60))</f>
        <v>5</v>
      </c>
      <c r="V60" s="96">
        <f t="shared" si="11"/>
        <v>34</v>
      </c>
      <c r="W60" s="208">
        <f>IF($K$13=1,60,0)</f>
        <v>0</v>
      </c>
      <c r="X60" s="99">
        <f>IF(W60=0,"","Add: Legal Liability to CNG / LPG Kit")</f>
      </c>
      <c r="Y60" s="201"/>
      <c r="Z60" s="91"/>
      <c r="AA60" s="208">
        <f>IF($K$13=1,60,0)</f>
        <v>0</v>
      </c>
      <c r="AB60" s="208">
        <f>IF($K$13=1,60,0)</f>
        <v>0</v>
      </c>
      <c r="AC60" s="208">
        <f>IF($K$13=1,60,0)</f>
        <v>0</v>
      </c>
      <c r="AD60" s="208">
        <f>IF($K$13=1,60,0)</f>
        <v>0</v>
      </c>
      <c r="AE60" s="208">
        <f>IF($K$13=1,60,0)</f>
        <v>0</v>
      </c>
    </row>
    <row r="61" spans="1:31" s="43" customFormat="1" ht="18" customHeight="1">
      <c r="A61" s="75"/>
      <c r="B61" s="83"/>
      <c r="C61" s="84"/>
      <c r="D61" s="657">
        <f t="shared" si="7"/>
      </c>
      <c r="E61" s="657"/>
      <c r="F61" s="657"/>
      <c r="G61" s="657"/>
      <c r="H61" s="93">
        <f t="shared" si="1"/>
      </c>
      <c r="I61" s="94">
        <f t="shared" si="8"/>
      </c>
      <c r="J61" s="84"/>
      <c r="K61" s="90"/>
      <c r="L61" s="103"/>
      <c r="M61" s="110"/>
      <c r="N61" s="41"/>
      <c r="O61" s="110"/>
      <c r="P61" s="41"/>
      <c r="Q61" s="110"/>
      <c r="R61" s="103"/>
      <c r="S61" s="95">
        <f t="shared" si="10"/>
        <v>8</v>
      </c>
      <c r="T61" s="96">
        <f t="shared" si="9"/>
        <v>33</v>
      </c>
      <c r="U61" s="96">
        <f>LARGE($T$54:$T$61,ROWS(T$54:T61))</f>
        <v>2</v>
      </c>
      <c r="V61" s="96">
        <f t="shared" si="11"/>
        <v>33</v>
      </c>
      <c r="W61" s="208">
        <f>-IF($U$28=1,0,IF($K$6=1,200,150))</f>
        <v>-200</v>
      </c>
      <c r="X61" s="99" t="str">
        <f>IF(W61=0,"","Less: Prem on Limiting TPPD upto Rs.6000/-")</f>
        <v>Less: Prem on Limiting TPPD upto Rs.6000/-</v>
      </c>
      <c r="Y61" s="201"/>
      <c r="Z61" s="91"/>
      <c r="AA61" s="208">
        <f>-IF($U$28=1,0,IF($K$6=1,200,150))</f>
        <v>-200</v>
      </c>
      <c r="AB61" s="208">
        <f>-IF($U$28=1,0,IF($K$6=1,200,150))</f>
        <v>-200</v>
      </c>
      <c r="AC61" s="208">
        <f>-IF($U$28=1,0,IF($K$6=1,200,150))</f>
        <v>-200</v>
      </c>
      <c r="AD61" s="208">
        <f>-IF($U$28=1,0,IF($K$6=1,200,150))</f>
        <v>-200</v>
      </c>
      <c r="AE61" s="208">
        <f>-IF($U$28=1,0,IF($K$6=1,200,150))</f>
        <v>-200</v>
      </c>
    </row>
    <row r="62" spans="1:31" s="43" customFormat="1" ht="18" customHeight="1">
      <c r="A62" s="75"/>
      <c r="B62" s="83"/>
      <c r="C62" s="84"/>
      <c r="D62" s="658" t="s">
        <v>379</v>
      </c>
      <c r="E62" s="658"/>
      <c r="F62" s="658"/>
      <c r="G62" s="658"/>
      <c r="H62" s="101" t="s">
        <v>106</v>
      </c>
      <c r="I62" s="102">
        <f>W62</f>
        <v>40169</v>
      </c>
      <c r="J62" s="84"/>
      <c r="K62" s="90"/>
      <c r="L62" s="103"/>
      <c r="M62" s="110"/>
      <c r="N62" s="41"/>
      <c r="O62" s="110"/>
      <c r="P62" s="41"/>
      <c r="Q62" s="110"/>
      <c r="R62" s="103"/>
      <c r="S62" s="103"/>
      <c r="T62" s="201"/>
      <c r="U62" s="201"/>
      <c r="V62" s="205"/>
      <c r="W62" s="210">
        <f>ROUND(SUM($W$54:$W$61),0)</f>
        <v>40169</v>
      </c>
      <c r="X62" s="201"/>
      <c r="Y62" s="201"/>
      <c r="Z62" s="91"/>
      <c r="AA62" s="210">
        <f>ROUND(SUM($AA$54:$AA$61),0)</f>
        <v>40169</v>
      </c>
      <c r="AB62" s="210">
        <f>ROUND(SUM($AB$54:$AB$61),0)</f>
        <v>40169</v>
      </c>
      <c r="AC62" s="210">
        <f>ROUND(SUM($AC$54:$AC$61),0)</f>
        <v>40169</v>
      </c>
      <c r="AD62" s="210">
        <f>ROUND(SUM($AD$54:$AD$61),0)</f>
        <v>40169</v>
      </c>
      <c r="AE62" s="210">
        <f>ROUND(SUM($AE$54:$AE$61),0)</f>
        <v>40169</v>
      </c>
    </row>
    <row r="63" spans="1:31" s="43" customFormat="1" ht="18" customHeight="1">
      <c r="A63" s="75"/>
      <c r="B63" s="83"/>
      <c r="C63" s="84"/>
      <c r="D63" s="662" t="s">
        <v>380</v>
      </c>
      <c r="E63" s="662"/>
      <c r="F63" s="662"/>
      <c r="G63" s="662"/>
      <c r="H63" s="93" t="s">
        <v>106</v>
      </c>
      <c r="I63" s="106">
        <f>SUM(I62,I53)</f>
        <v>42777</v>
      </c>
      <c r="J63" s="84"/>
      <c r="K63" s="90"/>
      <c r="L63" s="39"/>
      <c r="M63" s="110"/>
      <c r="N63" s="41"/>
      <c r="O63" s="110"/>
      <c r="P63" s="41"/>
      <c r="Q63" s="110"/>
      <c r="R63" s="39"/>
      <c r="S63" s="39"/>
      <c r="T63" s="201"/>
      <c r="U63" s="201"/>
      <c r="V63" s="205"/>
      <c r="W63" s="208">
        <f>SUM($W$62,$W$53)</f>
        <v>42777</v>
      </c>
      <c r="X63" s="201"/>
      <c r="Y63" s="201"/>
      <c r="Z63" s="91"/>
      <c r="AA63" s="208">
        <f>SUM($AA$62,$AA$53)</f>
        <v>45936</v>
      </c>
      <c r="AB63" s="208">
        <f>SUM($AB$62,$AB$53)</f>
        <v>44475</v>
      </c>
      <c r="AC63" s="208">
        <f>SUM($AC$62,$AC$53)</f>
        <v>42777</v>
      </c>
      <c r="AD63" s="208">
        <f>SUM($AD$62,$AD$53)</f>
        <v>41167</v>
      </c>
      <c r="AE63" s="208">
        <f>SUM($AE$62,$AE$53)</f>
        <v>40169</v>
      </c>
    </row>
    <row r="64" spans="1:31" s="43" customFormat="1" ht="18" customHeight="1">
      <c r="A64" s="75"/>
      <c r="B64" s="83"/>
      <c r="C64" s="84"/>
      <c r="D64" s="662" t="str">
        <f>CONCATENATE("Add: GST (Goods and Services Tax) @ ",Sign!$F$15,"%")</f>
        <v>Add: GST (Goods and Services Tax) @ 18%</v>
      </c>
      <c r="E64" s="662"/>
      <c r="F64" s="662"/>
      <c r="G64" s="662"/>
      <c r="H64" s="93" t="s">
        <v>106</v>
      </c>
      <c r="I64" s="106">
        <f>W64</f>
        <v>5322</v>
      </c>
      <c r="J64" s="84"/>
      <c r="K64" s="90"/>
      <c r="L64" s="39"/>
      <c r="M64" s="110"/>
      <c r="N64" s="41"/>
      <c r="O64" s="110"/>
      <c r="P64" s="41"/>
      <c r="Q64" s="110"/>
      <c r="R64" s="39"/>
      <c r="S64" s="39"/>
      <c r="T64" s="201"/>
      <c r="U64" s="201"/>
      <c r="V64" s="205"/>
      <c r="W64" s="208">
        <f>SUM(W70:W73)</f>
        <v>5322</v>
      </c>
      <c r="X64" s="201"/>
      <c r="Y64" s="201"/>
      <c r="Z64" s="91"/>
      <c r="AA64" s="208">
        <f>SUM(AA70:AA73)</f>
        <v>5890</v>
      </c>
      <c r="AB64" s="208">
        <f>SUM(AB70:AB73)</f>
        <v>5626</v>
      </c>
      <c r="AC64" s="208">
        <f>SUM(AC70:AC73)</f>
        <v>5322</v>
      </c>
      <c r="AD64" s="208">
        <f>SUM(AD70:AD73)</f>
        <v>5032</v>
      </c>
      <c r="AE64" s="208">
        <f>SUM(AE70:AE73)</f>
        <v>4852</v>
      </c>
    </row>
    <row r="65" spans="1:31" s="43" customFormat="1" ht="18" customHeight="1">
      <c r="A65" s="75"/>
      <c r="B65" s="83"/>
      <c r="C65" s="84"/>
      <c r="D65" s="658" t="s">
        <v>378</v>
      </c>
      <c r="E65" s="658"/>
      <c r="F65" s="658"/>
      <c r="G65" s="317"/>
      <c r="H65" s="101" t="s">
        <v>106</v>
      </c>
      <c r="I65" s="102">
        <f>SUM(I63:I64)</f>
        <v>48099</v>
      </c>
      <c r="J65" s="84"/>
      <c r="K65" s="90"/>
      <c r="L65" s="74"/>
      <c r="M65" s="110"/>
      <c r="N65" s="41"/>
      <c r="O65" s="110"/>
      <c r="P65" s="110"/>
      <c r="Q65" s="110"/>
      <c r="R65" s="74"/>
      <c r="S65" s="74"/>
      <c r="T65" s="201"/>
      <c r="U65" s="201"/>
      <c r="V65" s="205"/>
      <c r="W65" s="211">
        <f>SUM(W63:W64)</f>
        <v>48099</v>
      </c>
      <c r="X65" s="201"/>
      <c r="Y65" s="201"/>
      <c r="Z65" s="91"/>
      <c r="AA65" s="211">
        <f>SUM(AA63:AA64)</f>
        <v>51826</v>
      </c>
      <c r="AB65" s="211">
        <f>SUM(AB63:AB64)</f>
        <v>50101</v>
      </c>
      <c r="AC65" s="211">
        <f>SUM(AC63:AC64)</f>
        <v>48099</v>
      </c>
      <c r="AD65" s="211">
        <f>SUM(AD63:AD64)</f>
        <v>46199</v>
      </c>
      <c r="AE65" s="211">
        <f>SUM(AE63:AE64)</f>
        <v>45021</v>
      </c>
    </row>
    <row r="66" spans="1:31" s="43" customFormat="1" ht="7.5" customHeight="1">
      <c r="A66" s="79"/>
      <c r="B66" s="109"/>
      <c r="C66" s="84"/>
      <c r="D66" s="84"/>
      <c r="E66" s="84"/>
      <c r="F66" s="84"/>
      <c r="G66" s="84"/>
      <c r="H66" s="84"/>
      <c r="I66" s="84"/>
      <c r="J66" s="84"/>
      <c r="K66" s="90"/>
      <c r="L66" s="74"/>
      <c r="M66" s="110"/>
      <c r="N66" s="41"/>
      <c r="O66" s="110"/>
      <c r="P66" s="110"/>
      <c r="Q66" s="110"/>
      <c r="R66" s="74"/>
      <c r="S66" s="74"/>
      <c r="T66" s="201"/>
      <c r="U66" s="201"/>
      <c r="V66" s="201"/>
      <c r="W66" s="351"/>
      <c r="X66" s="201"/>
      <c r="Y66" s="201"/>
      <c r="Z66" s="91"/>
      <c r="AA66" s="351"/>
      <c r="AB66" s="351"/>
      <c r="AC66" s="351"/>
      <c r="AD66" s="351"/>
      <c r="AE66" s="351"/>
    </row>
    <row r="67" spans="1:31" s="43" customFormat="1" ht="3" customHeight="1">
      <c r="A67" s="79"/>
      <c r="B67" s="659"/>
      <c r="C67" s="659"/>
      <c r="D67" s="659"/>
      <c r="E67" s="659"/>
      <c r="F67" s="659"/>
      <c r="G67" s="659"/>
      <c r="H67" s="659"/>
      <c r="I67" s="659"/>
      <c r="J67" s="659"/>
      <c r="K67" s="90"/>
      <c r="L67" s="74"/>
      <c r="M67" s="110"/>
      <c r="N67" s="41"/>
      <c r="O67" s="110"/>
      <c r="P67" s="110"/>
      <c r="Q67" s="110"/>
      <c r="R67" s="74"/>
      <c r="S67" s="74"/>
      <c r="T67" s="74"/>
      <c r="U67" s="201"/>
      <c r="V67" s="201"/>
      <c r="W67" s="351"/>
      <c r="X67" s="201"/>
      <c r="Y67" s="201"/>
      <c r="Z67" s="91"/>
      <c r="AA67" s="351"/>
      <c r="AB67" s="351"/>
      <c r="AC67" s="351"/>
      <c r="AD67" s="351"/>
      <c r="AE67" s="351"/>
    </row>
    <row r="68" spans="1:31" s="43" customFormat="1" ht="15">
      <c r="A68" s="79"/>
      <c r="B68" s="693" t="str">
        <f>Sign!A16</f>
        <v>G. Lingachari, AO (Mktg), DO-VI, 98856 32211, 040 2340 3147, lingachari@orientalinsurance.co.in</v>
      </c>
      <c r="C68" s="693"/>
      <c r="D68" s="693"/>
      <c r="E68" s="693"/>
      <c r="F68" s="693"/>
      <c r="G68" s="693"/>
      <c r="H68" s="693"/>
      <c r="I68" s="693"/>
      <c r="J68" s="663"/>
      <c r="K68" s="90"/>
      <c r="L68" s="74"/>
      <c r="M68" s="110"/>
      <c r="N68" s="41"/>
      <c r="O68" s="110"/>
      <c r="P68" s="110"/>
      <c r="Q68" s="110"/>
      <c r="R68" s="74"/>
      <c r="S68" s="74"/>
      <c r="T68" s="74"/>
      <c r="U68" s="201"/>
      <c r="V68" s="201"/>
      <c r="W68" s="512">
        <f>W63-W54-W61</f>
        <v>3128</v>
      </c>
      <c r="X68" s="528"/>
      <c r="Y68" s="528"/>
      <c r="Z68" s="528"/>
      <c r="AA68" s="512">
        <f>AA63-AA54-AA61</f>
        <v>6287</v>
      </c>
      <c r="AB68" s="512">
        <f>AB63-AB54-AB61</f>
        <v>4826</v>
      </c>
      <c r="AC68" s="512">
        <f>AC63-AC54-AC61</f>
        <v>3128</v>
      </c>
      <c r="AD68" s="512">
        <f>AD63-AD54-AD61</f>
        <v>1518</v>
      </c>
      <c r="AE68" s="512">
        <f>AE63-AE54-AE61</f>
        <v>520</v>
      </c>
    </row>
    <row r="69" spans="1:22" s="43" customFormat="1" ht="3" customHeight="1">
      <c r="A69" s="79"/>
      <c r="B69" s="113"/>
      <c r="C69" s="114"/>
      <c r="D69" s="114"/>
      <c r="E69" s="114"/>
      <c r="F69" s="114"/>
      <c r="G69" s="114"/>
      <c r="H69" s="114"/>
      <c r="I69" s="114"/>
      <c r="J69" s="114"/>
      <c r="K69" s="115"/>
      <c r="L69" s="74"/>
      <c r="M69" s="110"/>
      <c r="N69" s="110"/>
      <c r="O69" s="110"/>
      <c r="P69" s="110"/>
      <c r="Q69" s="110"/>
      <c r="R69" s="74"/>
      <c r="S69" s="74"/>
      <c r="T69" s="74"/>
      <c r="U69" s="74"/>
      <c r="V69" s="201"/>
    </row>
    <row r="70" spans="1:31" ht="15">
      <c r="A70" s="79"/>
      <c r="B70" s="79"/>
      <c r="C70" s="79"/>
      <c r="D70" s="79"/>
      <c r="E70" s="79"/>
      <c r="F70" s="79"/>
      <c r="G70" s="79"/>
      <c r="H70" s="79"/>
      <c r="I70" s="79"/>
      <c r="J70" s="79"/>
      <c r="K70" s="116"/>
      <c r="L70" s="74"/>
      <c r="M70" s="110"/>
      <c r="N70" s="110"/>
      <c r="O70" s="110"/>
      <c r="P70" s="110"/>
      <c r="Q70" s="110"/>
      <c r="R70" s="74"/>
      <c r="S70" s="74"/>
      <c r="T70" s="74"/>
      <c r="U70" s="74"/>
      <c r="V70" s="201"/>
      <c r="W70" s="521">
        <f>ROUND(W68*Sign!$E$12%,0)</f>
        <v>282</v>
      </c>
      <c r="X70" s="522"/>
      <c r="Y70" s="522"/>
      <c r="Z70" s="523"/>
      <c r="AA70" s="521">
        <f>ROUND(AA68*Sign!$E$12%,0)</f>
        <v>566</v>
      </c>
      <c r="AB70" s="521">
        <f>ROUND(AB68*Sign!$E$12%,0)</f>
        <v>434</v>
      </c>
      <c r="AC70" s="521">
        <f>ROUND(AC68*Sign!$E$12%,0)</f>
        <v>282</v>
      </c>
      <c r="AD70" s="521">
        <f>ROUND(AD68*Sign!$E$12%,0)</f>
        <v>137</v>
      </c>
      <c r="AE70" s="521">
        <f>ROUND(AE68*Sign!$E$12%,0)</f>
        <v>47</v>
      </c>
    </row>
    <row r="71" spans="23:31" ht="15" customHeight="1" hidden="1">
      <c r="W71" s="521">
        <f>ROUND(W68*Sign!$E$13%,0)</f>
        <v>282</v>
      </c>
      <c r="X71" s="522"/>
      <c r="Y71" s="522"/>
      <c r="Z71" s="524"/>
      <c r="AA71" s="521">
        <f>ROUND(AA68*Sign!$E$13%,0)</f>
        <v>566</v>
      </c>
      <c r="AB71" s="521">
        <f>ROUND(AB68*Sign!$E$13%,0)</f>
        <v>434</v>
      </c>
      <c r="AC71" s="521">
        <f>ROUND(AC68*Sign!$E$13%,0)</f>
        <v>282</v>
      </c>
      <c r="AD71" s="521">
        <f>ROUND(AD68*Sign!$E$13%,0)</f>
        <v>137</v>
      </c>
      <c r="AE71" s="521">
        <f>ROUND(AE68*Sign!$E$13%,0)</f>
        <v>47</v>
      </c>
    </row>
    <row r="72" spans="23:31" ht="15" customHeight="1" hidden="1">
      <c r="W72" s="355">
        <f>ROUND((W54+W61)*6%,0)</f>
        <v>2379</v>
      </c>
      <c r="X72" s="525"/>
      <c r="Y72" s="525"/>
      <c r="Z72" s="526"/>
      <c r="AA72" s="355">
        <f>ROUND((AA54+AA61)*6%,0)</f>
        <v>2379</v>
      </c>
      <c r="AB72" s="355">
        <f>ROUND((AB54+AB61)*6%,0)</f>
        <v>2379</v>
      </c>
      <c r="AC72" s="355">
        <f>ROUND((AC54+AC61)*6%,0)</f>
        <v>2379</v>
      </c>
      <c r="AD72" s="355">
        <f>ROUND((AD54+AD61)*6%,0)</f>
        <v>2379</v>
      </c>
      <c r="AE72" s="355">
        <f>ROUND((AE54+AE61)*6%,0)</f>
        <v>2379</v>
      </c>
    </row>
    <row r="73" spans="23:31" ht="15" customHeight="1" hidden="1">
      <c r="W73" s="355">
        <f>ROUND((W54+W61)*6%,0)</f>
        <v>2379</v>
      </c>
      <c r="X73" s="525"/>
      <c r="Y73" s="525"/>
      <c r="Z73" s="527"/>
      <c r="AA73" s="355">
        <f>ROUND((AA54+AA61)*6%,0)</f>
        <v>2379</v>
      </c>
      <c r="AB73" s="355">
        <f>ROUND((AB54+AB61)*6%,0)</f>
        <v>2379</v>
      </c>
      <c r="AC73" s="355">
        <f>ROUND((AC54+AC61)*6%,0)</f>
        <v>2379</v>
      </c>
      <c r="AD73" s="355">
        <f>ROUND((AD54+AD61)*6%,0)</f>
        <v>2379</v>
      </c>
      <c r="AE73" s="355">
        <f>ROUND((AE54+AE61)*6%,0)</f>
        <v>2379</v>
      </c>
    </row>
  </sheetData>
  <sheetProtection password="CE28" sheet="1" selectLockedCells="1"/>
  <mergeCells count="82">
    <mergeCell ref="K9:L9"/>
    <mergeCell ref="K10:L10"/>
    <mergeCell ref="N15:N17"/>
    <mergeCell ref="N2:P2"/>
    <mergeCell ref="N5:N7"/>
    <mergeCell ref="P5:P7"/>
    <mergeCell ref="N10:N12"/>
    <mergeCell ref="P10:P12"/>
    <mergeCell ref="B67:J67"/>
    <mergeCell ref="B68:J68"/>
    <mergeCell ref="D56:G56"/>
    <mergeCell ref="D57:G57"/>
    <mergeCell ref="D58:G58"/>
    <mergeCell ref="D59:G59"/>
    <mergeCell ref="D60:G60"/>
    <mergeCell ref="D61:G61"/>
    <mergeCell ref="D62:G62"/>
    <mergeCell ref="D52:G52"/>
    <mergeCell ref="D53:F53"/>
    <mergeCell ref="D54:G54"/>
    <mergeCell ref="D55:G55"/>
    <mergeCell ref="D63:G63"/>
    <mergeCell ref="D64:G64"/>
    <mergeCell ref="D46:G46"/>
    <mergeCell ref="D47:G47"/>
    <mergeCell ref="D48:G48"/>
    <mergeCell ref="D49:G49"/>
    <mergeCell ref="D50:G50"/>
    <mergeCell ref="D51:G51"/>
    <mergeCell ref="D40:G40"/>
    <mergeCell ref="D41:G41"/>
    <mergeCell ref="D42:G42"/>
    <mergeCell ref="D43:G43"/>
    <mergeCell ref="D44:G44"/>
    <mergeCell ref="D45:G45"/>
    <mergeCell ref="D36:F36"/>
    <mergeCell ref="H36:I36"/>
    <mergeCell ref="D37:F37"/>
    <mergeCell ref="H37:I37"/>
    <mergeCell ref="D38:I38"/>
    <mergeCell ref="D39:G39"/>
    <mergeCell ref="D33:F33"/>
    <mergeCell ref="H33:I33"/>
    <mergeCell ref="D34:F34"/>
    <mergeCell ref="H34:I34"/>
    <mergeCell ref="D35:F35"/>
    <mergeCell ref="H35:I35"/>
    <mergeCell ref="D30:F30"/>
    <mergeCell ref="H30:I30"/>
    <mergeCell ref="D31:F31"/>
    <mergeCell ref="H31:I31"/>
    <mergeCell ref="D32:F32"/>
    <mergeCell ref="H32:I32"/>
    <mergeCell ref="C25:K25"/>
    <mergeCell ref="D27:F27"/>
    <mergeCell ref="H27:I27"/>
    <mergeCell ref="D28:F28"/>
    <mergeCell ref="H28:I28"/>
    <mergeCell ref="D29:F29"/>
    <mergeCell ref="H29:I29"/>
    <mergeCell ref="G16:H16"/>
    <mergeCell ref="G18:H18"/>
    <mergeCell ref="B20:J20"/>
    <mergeCell ref="B22:K22"/>
    <mergeCell ref="B23:K23"/>
    <mergeCell ref="B24:K24"/>
    <mergeCell ref="G7:H7"/>
    <mergeCell ref="G9:H9"/>
    <mergeCell ref="G10:H10"/>
    <mergeCell ref="G12:H12"/>
    <mergeCell ref="G13:H13"/>
    <mergeCell ref="G15:H15"/>
    <mergeCell ref="C2:F2"/>
    <mergeCell ref="G2:H2"/>
    <mergeCell ref="N19:P20"/>
    <mergeCell ref="P15:P17"/>
    <mergeCell ref="D65:F65"/>
    <mergeCell ref="I2:K2"/>
    <mergeCell ref="D3:I3"/>
    <mergeCell ref="E4:F4"/>
    <mergeCell ref="G4:H4"/>
    <mergeCell ref="G6:H6"/>
  </mergeCells>
  <dataValidations count="31">
    <dataValidation type="whole" allowBlank="1" showErrorMessage="1" promptTitle="CNG / LPG Kit Value" prompt="&#10;# If Liability only Policy is taken for, Coverage for Loss/Damage to Kit is not Available&#10;&#10;# If Package Policy is taken for, Cost of such Kit shall also be covered on paying 4% on such value of Kit as consideration alongwith Legal Liab Premium @ Rs.60/-" sqref="F13">
      <formula1>0</formula1>
      <formula2>IF(F12="CNG/LPG - Yes",MAX(D10*10%),0)</formula2>
    </dataValidation>
    <dataValidation type="decimal" allowBlank="1" showInputMessage="1" showErrorMessage="1" promptTitle="NDP Disc" prompt="Please refer the recent NDP Discount by HO" errorTitle="NDP Disc" error="Please refer the recent NDP Discount by HO" sqref="K10:L10">
      <formula1>0</formula1>
      <formula2>N22</formula2>
    </dataValidation>
    <dataValidation errorStyle="warning" type="whole" allowBlank="1" promptTitle="Registration Number of Vehicle" prompt="&#10;# It is Relevant only, when the following occasions:&#10;&#10;# While output of the quote is printed on paper and to be presented the same to the client as a Premium Quote&#10;&#10;# While capturing relevant details through E-Quote and sending E-mail to Client" sqref="F7">
      <formula1>5000</formula1>
      <formula2>999999999</formula2>
    </dataValidation>
    <dataValidation errorStyle="warning" type="whole" allowBlank="1" promptTitle="Name of the Registered Owner" prompt="&#10;# It is Relevant only, when the following occasions:&#10;&#10;# While output of the quote is printed on paper and to be presented the same to the client as a Premium Quote&#10;&#10;# While capturing relevant details through E-Quote and sending E-mail to Client" sqref="E4:F4">
      <formula1>5000</formula1>
      <formula2>999999999</formula2>
    </dataValidation>
    <dataValidation errorStyle="warning" type="whole" allowBlank="1" promptTitle="Make &amp; Model of the Vehicle" prompt="&#10;# It is Relevant only, when the following occasions:&#10;&#10;# While output of the quote is printed on paper and to be presented the same to the client as a Premium Quote&#10;&#10;# While capturing relevant details through E-Quote and sending E-mail to Client" sqref="G7:H7">
      <formula1>5000</formula1>
      <formula2>999999999</formula2>
    </dataValidation>
    <dataValidation type="whole" allowBlank="1" showErrorMessage="1" promptTitle="GVW (Gross Vehicle Weight)" prompt="&#10;# To be Mentioned Regd Gross Veh Weight, As per Vehicle's RC&#10;&#10;# For Example: GVW: 12,000 Kgs means, Vehicle Weight as well as Weight of Goods Licensed to carry&#10;&#10;# Define Correct GVW as it is the Prime Rating Factors for both TP and Package Policies" errorTitle="Sum Insured" error="Please Enter the Data Correctly, to validate the Field" sqref="D13">
      <formula1>199</formula1>
      <formula2>999999999</formula2>
    </dataValidation>
    <dataValidation errorStyle="warning" type="whole" allowBlank="1" promptTitle="Trailor's Value" prompt="&#10;# Option Available to the Insured, if covered under Package Policy only&#10;&#10;# Trailor's Value to be Mentioned&#10;&#10;# Premium depends on the Usage of Trailor viz., Agricultural or Others" sqref="I13">
      <formula1>5000</formula1>
      <formula2>999999999</formula2>
    </dataValidation>
    <dataValidation type="list" allowBlank="1" showErrorMessage="1" promptTitle="No. of Trailors" prompt="&#10;# Provision for Inclusion of 4 Trailors&#10;&#10;# If included, Third Party Premium be paid depends on usage of such trailor, viz., Agricultural and Others&#10;&#10;# If OD Part to be covered, value of such trailor be given by paying appropriate Prem, as to its usage" sqref="G13:H13">
      <formula1>"Trailors - No,Trailors - One,Trailors - Two,Trailors - Three,Trailors - Four"</formula1>
    </dataValidation>
    <dataValidation type="list" allowBlank="1" showErrorMessage="1" promptTitle="Inclusion of Trailors" prompt="&#10;# Provision for Inclusion of 4 Trailors&#10;&#10;# If included, Third Party Premium be paid depends on usage of such trailor, viz., Agricultural and Others&#10;&#10;# If OD Part to be covered, value of such trailor be given by paying appropriate Prem, as to its usage" sqref="G12:H12">
      <formula1>"Trailors - Agri,Trailors - Others"</formula1>
    </dataValidation>
    <dataValidation type="list" operator="equal" promptTitle="Zone of Registration / Operation" prompt="&#10;Place at which, Vehicles are Registered or Normally plying through out policy period:&#10;&#10;# Zone A: New Delhi, Kolkatta, Mumbai, Chennai&#10;&#10;# Zone B: Cities of State Capitals&#10;&#10;# Zone C: Rest of India (ROI)" sqref="E13">
      <formula1>"Zone:  A,Zone:  B,Zone:  C"</formula1>
    </dataValidation>
    <dataValidation errorStyle="warning" type="whole" allowBlank="1" promptTitle="Ele/Electronic Accessories" prompt="&#10;# The Equipment shall only be covered, if opted for Package Policy&#10;&#10;# Value of Equipment shall have to be shown separately&#10;&#10;# Premium to be paid @ 4%, on such a value, regardless of Age/Zone/Class" sqref="E10">
      <formula1>5000</formula1>
      <formula2>999999999</formula2>
    </dataValidation>
    <dataValidation errorStyle="warning" type="whole" allowBlank="1" promptTitle="Non-Ele/Electronic Accessories" prompt="&#10;# The Equipment shall only be covered, if opted for Package Policy&#10;&#10;# Value of Equipment shall have to be shown separately&#10;&#10;# Premium to be paid on par with Vehicle's OD Rate, on such a value" sqref="F10">
      <formula1>5000</formula1>
      <formula2>999999999</formula2>
    </dataValidation>
    <dataValidation errorStyle="warning" type="whole" allowBlank="1" promptTitle="Age of Vehicle (Veh's 1st Regn)" prompt="&#10;# To be arrived  from First Date of Regn, i.e., from the Date of Delivery of the Vehicle from the Show-Room&#10;&#10;# Hence, mention the correct Veh's Age (as per Veh's Registration Certificate), as the Age is one of the Rating Factors to calculate the OD Prem" sqref="I7">
      <formula1>5000</formula1>
      <formula2>999999999</formula2>
    </dataValidation>
    <dataValidation type="list" operator="equal" showErrorMessage="1" promptTitle="Coverage Option" prompt="&#10;# Package Policy gives Own Damage Benefit to Vehicle and Third Parties&#10;&#10;# Liability Only Policy Benefits only for the Third Parties" sqref="I4">
      <formula1>"Liability Only,Package Policy"</formula1>
    </dataValidation>
    <dataValidation type="list" allowBlank="1" showErrorMessage="1" promptTitle="Geographical Extension" prompt="&#10;# On option of Cover, Insured has to pay a fixed amount of Rs.500/-&#10;&#10;# Geog Ext Avb only for following SAARC countries viz., Nepal, Sri Lanka, Maldives, Bhutan, Pakistan, Bangladesh&#10;&#10;# Must be choosen any one country, only from above listed countires" sqref="I18">
      <formula1>"Geog Ext - Yes,Geog Ext - No"</formula1>
    </dataValidation>
    <dataValidation type="list" allowBlank="1" showErrorMessage="1" promptTitle="IMT 23, Coverage for IMT 21 Excl" prompt="&#10;# Com Veh Package Policy, excludes the following Exp:&#10;&#10;# Lamps, Tyres/Tubes, Mudguards, Bonnet, Side Parts, Bumpers, Headlights and Paintwork of Damaged Portion only&#10;&#10;# On Option of IMT 23, Insured gets 50% of Abv Exp" sqref="G18:H18">
      <formula1>"IMT 23 - Yes,IMT 23 - No"</formula1>
    </dataValidation>
    <dataValidation type="list" allowBlank="1" showErrorMessage="1" promptTitle="Compulsory PA: Owner-cum-Driver" prompt="&#10;# Rs.2,00,000/- PA Cover for Registered Owner of the Vehicle&#10;&#10;# Cover can be opted-out only, if Regd on Firm's Name and also if the Owner is not having a valid Driving License&#10;&#10;# On Option of Cover, Rs.100/- shall be added to the TP Part of Premium" sqref="D18">
      <formula1>"Yes (Required),No (Deletion)"</formula1>
    </dataValidation>
    <dataValidation type="list" allowBlank="1" showErrorMessage="1" promptTitle="Third Party Property Damage:" prompt="&#10;# On Limitation of TPPD Cover, Insurer compensates for such Damages, Upto a Limit of Rs. 6,000/- only&#10;&#10;# Otherwise, the same shall be compensated upto Rs.7,50,000/-&#10;&#10;# On Restriction  of Cover, Appropriate Premium shall be reduced from TP Part of Premium" sqref="E18">
      <formula1>"TPPD - Limited,TPPD - Wider"</formula1>
    </dataValidation>
    <dataValidation type="list" allowBlank="1" showErrorMessage="1" promptTitle="Discount for Anti Theft Devices" prompt="&#10;# A Discount of 2.5% of on OD Part of Premium, subject to a Max of Rs.500/-&#10;&#10;# Anti-Theft Discount shall be offered, only if such Device is approved by ARAI&#10;&#10;# This is a separate Disc, apart from all sorts of Discounts, viz, U/w Disc, NCB" sqref="F18">
      <formula1>"Anti Theft - Yes,Anti Theft - No"</formula1>
    </dataValidation>
    <dataValidation type="list" operator="equal" showErrorMessage="1" promptTitle="NDP (Nill Depreciation Policy)" prompt="&#10;# No Depr is Deducted, Except a Std Pol Excess for Each/Every Claim&#10;&#10;# IMT-23 is Compulsory with NDP&#10;&#10;# Cover Avb upto 7 Yrs only, Subj to a satisfactory Veh Insp&#10;&#10;# NDP cover Not Avb for 3 Wheelers&#10;&#10;# 5% Disc, if renewed with same U/w Unit" sqref="G10:H10">
      <formula1>NDPGCV</formula1>
    </dataValidation>
    <dataValidation type="list" allowBlank="1" showErrorMessage="1" promptTitle="Legal Liability to Coolies" prompt="&#10;# Available at the Option of Proposer, on consideration of Rs.25/- against each Cooli (Provision for a Max of 5)&#10;&#10;# Compensation towards; Accidental Death, Bodily Injury, PTD etc during the course of employment, shall be settled as per the WC Courts" sqref="F16">
      <formula1>"Not Required,Yes 1/Cooli,Yes 2/Coolies,Yes 3/Coolies,Yes 4/Coolies,Yes 5/Coolies"</formula1>
    </dataValidation>
    <dataValidation type="list" allowBlank="1" showErrorMessage="1" promptTitle="NFPP (Non Fare Paying Passenger)" prompt="&#10;# Available at the Option of Proposer, on consideration of Rs.75/- against each NFPP (Provision for a Max of 3)&#10;&#10;# Compensation towards; Accidental Death, Bodily Injury, PTD etc during the course of employment, shall be settled as per the WC Courts" sqref="E16">
      <formula1>"Not Required,Yes 1/NFPP,Yes 2/NFPP,Yes 3/NFPP"</formula1>
    </dataValidation>
    <dataValidation type="list" allowBlank="1" showErrorMessage="1" promptTitle="Whether Public/Private Carrier" prompt="&#10;# Choose Correctly, Whether Public or Private Carrier as, it is the Prime Rating factor for the Consideration of Premium&#10;&#10;# Public Carrier means, Vehicle Plying for Hire/Reward under contract&#10;&#10;# Private Carrier, Plies for its Own Business of the Insured" sqref="E7">
      <formula1>"Public Carrier,Private Carrier"</formula1>
    </dataValidation>
    <dataValidation type="decimal" allowBlank="1" showErrorMessage="1" promptTitle="Underwriting / Detariff Discount" prompt="&#10;# Field Permits the Users, to give a Max of 81% Discount on OD Part of Premium&#10;&#10;# Subject to computation of Minimum OD Part of Premium&#10;&#10;# To be followed by our Co's Discount Pattern from time to time" errorTitle="U/w Discount" error="Please Enter the Discount %age Correctly (Max 93.69%), to validate this Field" sqref="I16">
      <formula1>0</formula1>
      <formula2>93.69</formula2>
    </dataValidation>
    <dataValidation type="list" operator="equal" showErrorMessage="1" promptTitle="Return to Invoice Price" prompt="&#10;# Add-on Cover, Covers the Difference of Current Invoice Price and IDV of the Policy upto a Max of 10% of Inv Value, in case of Total Loss&#10;&#10;# Cover Avb upto 2nd Renewal only&#10;&#10;# Subj to: Ownership Must be the same as in Invoice during these three Years" sqref="I10">
      <formula1>RTIGCV</formula1>
    </dataValidation>
    <dataValidation operator="equal" allowBlank="1" showErrorMessage="1" errorTitle="Sum Insured" error="Please Enter the Data Correctly, to validate the Field" sqref="H31:H34">
      <formula1>0</formula1>
    </dataValidation>
    <dataValidation type="whole" allowBlank="1" showErrorMessage="1" promptTitle="Fixing of IDV / Sum Insured:" prompt="&#10;# IDV has to be fixed (Depr from Invoice Price), as per IMT Provision upto 5 Years&#10;&#10;# Sum Ins is to be Arrived at / Agreed for, as per the Mutual Consent, between the Insured/Insurer, for Age Abv 5 Yrs&#10;&#10;# Min SI: 40,000 for 4 Wh and 5,000 for 3 Wh Autos" errorTitle="Sum Insured" error="Please Enter the Data Correctly, to validate the Field" sqref="D10">
      <formula1>5000</formula1>
      <formula2>999999999</formula2>
    </dataValidation>
    <dataValidation type="list" allowBlank="1" showErrorMessage="1" promptTitle="No Claim Bonus shall be granted:" prompt="&#10;# Expiry of Prev Policy must be with in 90 Days&#10;&#10;# There should not be any Claim in the Previous Policy&#10;&#10;# Ownership shall also be same as the Previous Policy&#10;&#10;# Basis: Renewal Notice or No Claim Declaration by the Insured" sqref="G16:H16">
      <formula1>NCB</formula1>
    </dataValidation>
    <dataValidation type="list" allowBlank="1" showErrorMessage="1" promptTitle="Vehicle Class (3 Wh / 4 Wheeler)" prompt="&#10;# Choose Correct Vehicle Class, Viz., 3 Wheeler Autos or 4 Wheeler &#10;&#10;# 3 Wheeler means, Autos running with Three Wheels&#10;&#10;# 4 Wheeler means, Vehicles with Four or more wheeled, for both Below Six and Above Six Passengers" sqref="D7">
      <formula1>"3 Wh Auto,4 Wheeler,E-Carts"</formula1>
    </dataValidation>
    <dataValidation type="list" allowBlank="1" showErrorMessage="1" promptTitle="Legal Liability to Employees" prompt="&#10;# This is a wider cover, Available at Option for the Proposer, on payment of Rs.50/- each (Provision for a Max of 3)&#10;&#10;# Compensation towards; Accidental Death, Bodily Injury, PTD etc during the course of employment, shall be settled as per the WC Courts" sqref="D16">
      <formula1>"Not Required,Yes 1/Emp,Yes 2/Emp,Yes 3/Emp,Yes 4/Emp"</formula1>
    </dataValidation>
    <dataValidation type="list" allowBlank="1" showErrorMessage="1" promptTitle="CNG / LPG Kit" prompt="&#10;# Must be Declared, if RC / Veh is endorsed for Bi-Fuel, duly fitted with CNG/LPG Kit&#10;&#10;# Pay an Additional Premium of Rs.60/- towards Legal Liability for both Liability Only and Package Policies&#10;&#10;# Coverage for Kit value is Avb only with Package Policy" sqref="F12">
      <formula1>"CNG/LPG - Yes,CNG/LPG - No"</formula1>
    </dataValidation>
  </dataValidations>
  <printOptions horizontalCentered="1" verticalCentered="1"/>
  <pageMargins left="0.5" right="0.5" top="0.4" bottom="0.4" header="0.3" footer="0.3"/>
  <pageSetup fitToHeight="1" fitToWidth="1" horizontalDpi="300" verticalDpi="300" orientation="portrait" paperSize="9" scale="98" r:id="rId1"/>
</worksheet>
</file>

<file path=xl/worksheets/sheet7.xml><?xml version="1.0" encoding="utf-8"?>
<worksheet xmlns="http://schemas.openxmlformats.org/spreadsheetml/2006/main" xmlns:r="http://schemas.openxmlformats.org/officeDocument/2006/relationships">
  <sheetPr>
    <tabColor rgb="FF00B050"/>
    <pageSetUpPr fitToPage="1"/>
  </sheetPr>
  <dimension ref="A1:AC69"/>
  <sheetViews>
    <sheetView showGridLines="0" showRowColHeaders="0" zoomScalePageLayoutView="0" workbookViewId="0" topLeftCell="A1">
      <selection activeCell="E4" sqref="E4:F4"/>
    </sheetView>
  </sheetViews>
  <sheetFormatPr defaultColWidth="0" defaultRowHeight="15" customHeight="1" zeroHeight="1"/>
  <cols>
    <col min="1" max="1" width="1.7109375" style="2" customWidth="1"/>
    <col min="2" max="2" width="2.7109375" style="2" customWidth="1"/>
    <col min="3" max="3" width="1.7109375" style="2" customWidth="1"/>
    <col min="4" max="6" width="14.7109375" style="2" customWidth="1"/>
    <col min="7" max="7" width="1.421875" style="2" customWidth="1"/>
    <col min="8" max="8" width="13.7109375" style="2" customWidth="1"/>
    <col min="9" max="9" width="14.7109375" style="2" customWidth="1"/>
    <col min="10" max="10" width="1.7109375" style="2" customWidth="1"/>
    <col min="11" max="11" width="2.7109375" style="117" customWidth="1"/>
    <col min="12" max="12" width="2.7109375" style="121" customWidth="1"/>
    <col min="13" max="13" width="1.7109375" style="121" customWidth="1"/>
    <col min="14" max="14" width="22.7109375" style="121" customWidth="1"/>
    <col min="15" max="15" width="1.7109375" style="121" customWidth="1"/>
    <col min="16" max="16" width="22.7109375" style="121" customWidth="1"/>
    <col min="17" max="18" width="1.7109375" style="121" customWidth="1"/>
    <col min="19" max="19" width="3.00390625" style="121" hidden="1" customWidth="1"/>
    <col min="20" max="20" width="21.8515625" style="2" hidden="1" customWidth="1"/>
    <col min="21" max="21" width="12.8515625" style="2" hidden="1" customWidth="1"/>
    <col min="22" max="22" width="10.421875" style="2" hidden="1" customWidth="1"/>
    <col min="23" max="23" width="10.140625" style="2" hidden="1" customWidth="1"/>
    <col min="24" max="24" width="13.140625" style="2" hidden="1" customWidth="1"/>
    <col min="25" max="25" width="13.140625" style="119" hidden="1" customWidth="1"/>
    <col min="26" max="26" width="9.140625" style="119" hidden="1" customWidth="1"/>
    <col min="27" max="27" width="11.421875" style="119" hidden="1" customWidth="1"/>
    <col min="28" max="28" width="9.140625" style="2" hidden="1" customWidth="1"/>
    <col min="29" max="33" width="27.140625" style="2" hidden="1" customWidth="1"/>
    <col min="34" max="16384" width="9.140625" style="2" hidden="1" customWidth="1"/>
  </cols>
  <sheetData>
    <row r="1" spans="1:27" s="43" customFormat="1" ht="8.25" customHeight="1">
      <c r="A1" s="39"/>
      <c r="B1" s="39"/>
      <c r="C1" s="39"/>
      <c r="D1" s="39"/>
      <c r="E1" s="39"/>
      <c r="F1" s="39"/>
      <c r="G1" s="39"/>
      <c r="H1" s="39"/>
      <c r="I1" s="39"/>
      <c r="J1" s="39"/>
      <c r="K1" s="39"/>
      <c r="L1" s="39"/>
      <c r="M1" s="39"/>
      <c r="N1" s="39"/>
      <c r="O1" s="39"/>
      <c r="P1" s="39"/>
      <c r="Q1" s="39"/>
      <c r="R1" s="39"/>
      <c r="S1" s="39"/>
      <c r="T1" s="172" t="s">
        <v>155</v>
      </c>
      <c r="U1" s="133" t="s">
        <v>29</v>
      </c>
      <c r="V1" s="133" t="s">
        <v>12</v>
      </c>
      <c r="W1" s="133" t="s">
        <v>30</v>
      </c>
      <c r="X1" s="133" t="s">
        <v>31</v>
      </c>
      <c r="Y1" s="133" t="s">
        <v>124</v>
      </c>
      <c r="Z1" s="133" t="s">
        <v>142</v>
      </c>
      <c r="AA1" s="40"/>
    </row>
    <row r="2" spans="1:27" s="43" customFormat="1" ht="24" customHeight="1">
      <c r="A2" s="39"/>
      <c r="B2" s="45"/>
      <c r="C2" s="615" t="s">
        <v>75</v>
      </c>
      <c r="D2" s="616"/>
      <c r="E2" s="616"/>
      <c r="F2" s="616"/>
      <c r="G2" s="626" t="str">
        <f>CONCATENATE("Com: ",IF(K4=2,N50,N51))</f>
        <v>Com: 150</v>
      </c>
      <c r="H2" s="626"/>
      <c r="I2" s="627" t="s">
        <v>170</v>
      </c>
      <c r="J2" s="627"/>
      <c r="K2" s="628"/>
      <c r="L2" s="39"/>
      <c r="M2" s="275"/>
      <c r="N2" s="735" t="s">
        <v>214</v>
      </c>
      <c r="O2" s="736"/>
      <c r="P2" s="737"/>
      <c r="Q2" s="284"/>
      <c r="R2" s="39"/>
      <c r="S2" s="39"/>
      <c r="T2" s="212" t="s">
        <v>171</v>
      </c>
      <c r="U2" s="174" t="str">
        <f>Tariffs!F70</f>
        <v>Zone - A</v>
      </c>
      <c r="V2" s="213">
        <f>Tariffs!G70</f>
        <v>1.208</v>
      </c>
      <c r="W2" s="213">
        <f>Tariffs!H70</f>
        <v>1.238</v>
      </c>
      <c r="X2" s="213">
        <f>Tariffs!I70</f>
        <v>1.268</v>
      </c>
      <c r="Y2" s="175">
        <f>IF($F$7&lt;5.01,V2,IF($F$7&lt;7.01,W2,X2))</f>
        <v>1.208</v>
      </c>
      <c r="Z2" s="214">
        <f>IF(Sign!$E$11="2018-19",Tariffs!$J70,Tariffs!$W70)</f>
        <v>6115</v>
      </c>
      <c r="AA2" s="42">
        <v>0</v>
      </c>
    </row>
    <row r="3" spans="1:27" s="43" customFormat="1" ht="18" customHeight="1">
      <c r="A3" s="39"/>
      <c r="B3" s="49"/>
      <c r="C3" s="50"/>
      <c r="D3" s="696"/>
      <c r="E3" s="696"/>
      <c r="F3" s="696"/>
      <c r="G3" s="696"/>
      <c r="H3" s="696"/>
      <c r="I3" s="696"/>
      <c r="J3" s="50"/>
      <c r="K3" s="122"/>
      <c r="L3" s="39"/>
      <c r="M3" s="276"/>
      <c r="N3" s="278"/>
      <c r="O3" s="279"/>
      <c r="P3" s="285"/>
      <c r="Q3" s="280"/>
      <c r="R3" s="39"/>
      <c r="S3" s="39"/>
      <c r="T3" s="212" t="s">
        <v>172</v>
      </c>
      <c r="U3" s="174" t="str">
        <f>Tariffs!F71</f>
        <v>Zone - B</v>
      </c>
      <c r="V3" s="213">
        <f>Tariffs!G71</f>
        <v>1.202</v>
      </c>
      <c r="W3" s="213">
        <f>Tariffs!H71</f>
        <v>1.232</v>
      </c>
      <c r="X3" s="213">
        <f>Tariffs!I71</f>
        <v>1.262</v>
      </c>
      <c r="Y3" s="175">
        <f>IF($F$7&lt;5.01,V3,IF($F$7&lt;7.01,W3,X3))</f>
        <v>1.202</v>
      </c>
      <c r="Z3" s="214">
        <f>IF(Sign!$E$11="2018-19",Tariffs!$J71,Tariffs!$W71)</f>
        <v>1435</v>
      </c>
      <c r="AA3" s="42">
        <v>20</v>
      </c>
    </row>
    <row r="4" spans="1:27" s="43" customFormat="1" ht="21.75" customHeight="1">
      <c r="A4" s="39"/>
      <c r="B4" s="49"/>
      <c r="C4" s="50"/>
      <c r="D4" s="304" t="s">
        <v>80</v>
      </c>
      <c r="E4" s="643" t="s">
        <v>474</v>
      </c>
      <c r="F4" s="644"/>
      <c r="G4" s="707" t="s">
        <v>81</v>
      </c>
      <c r="H4" s="707"/>
      <c r="I4" s="51" t="s">
        <v>82</v>
      </c>
      <c r="J4" s="52"/>
      <c r="K4" s="122">
        <f>IF(I4="Package Policy",1,2)</f>
        <v>1</v>
      </c>
      <c r="L4" s="39"/>
      <c r="M4" s="276"/>
      <c r="N4" s="319" t="s">
        <v>213</v>
      </c>
      <c r="O4" s="279"/>
      <c r="P4" s="319" t="s">
        <v>212</v>
      </c>
      <c r="Q4" s="280"/>
      <c r="R4" s="39"/>
      <c r="S4" s="39"/>
      <c r="T4" s="212" t="s">
        <v>173</v>
      </c>
      <c r="U4" s="174" t="str">
        <f>Tariffs!F72</f>
        <v>Zone - C</v>
      </c>
      <c r="V4" s="213">
        <f>Tariffs!G72</f>
        <v>1.19</v>
      </c>
      <c r="W4" s="213">
        <f>Tariffs!H72</f>
        <v>1.22</v>
      </c>
      <c r="X4" s="213">
        <f>Tariffs!I72</f>
        <v>1.25</v>
      </c>
      <c r="Y4" s="175">
        <f>IF($F$7&lt;5.01,V4,IF($F$7&lt;7.01,W4,X4))</f>
        <v>1.19</v>
      </c>
      <c r="Z4" s="214">
        <f>IF(Sign!$E$11="2018-19",Tariffs!$J72,Tariffs!$W72)</f>
        <v>816</v>
      </c>
      <c r="AA4" s="42">
        <v>25</v>
      </c>
    </row>
    <row r="5" spans="1:27" s="43" customFormat="1" ht="19.5" customHeight="1">
      <c r="A5" s="39"/>
      <c r="B5" s="49"/>
      <c r="C5" s="53"/>
      <c r="D5" s="215"/>
      <c r="E5" s="215"/>
      <c r="F5" s="215"/>
      <c r="G5" s="215"/>
      <c r="H5" s="215"/>
      <c r="I5" s="215"/>
      <c r="J5" s="53"/>
      <c r="K5" s="122"/>
      <c r="L5" s="39"/>
      <c r="M5" s="276"/>
      <c r="N5" s="721">
        <f>I59</f>
        <v>8833</v>
      </c>
      <c r="O5" s="279"/>
      <c r="P5" s="721">
        <f>IF(AB59=0,"Not Avb",AB59)</f>
        <v>7653</v>
      </c>
      <c r="Q5" s="280"/>
      <c r="R5" s="39"/>
      <c r="S5" s="39"/>
      <c r="T5" s="212" t="s">
        <v>174</v>
      </c>
      <c r="U5" s="175"/>
      <c r="V5" s="175"/>
      <c r="W5" s="216">
        <f>IF(K16=0,0,IF(K16=1,0.87,IF(K16=2,0.9,0.93)))</f>
        <v>0</v>
      </c>
      <c r="X5" s="216">
        <f>IF(K16=0,0,IF(K16=1,1.05,IF(K16=2,1.08,1.12)))</f>
        <v>0</v>
      </c>
      <c r="Y5" s="216">
        <f>IF(K7=1,Y2,IF(K7=2,Y3,Y4))</f>
        <v>1.19</v>
      </c>
      <c r="Z5" s="214">
        <f>IF(Sign!$E$11="2018-19",Tariffs!$J73,Tariffs!$W73)</f>
        <v>2091</v>
      </c>
      <c r="AA5" s="42">
        <v>35</v>
      </c>
    </row>
    <row r="6" spans="1:27" s="43" customFormat="1" ht="21.75" customHeight="1">
      <c r="A6" s="39"/>
      <c r="B6" s="49"/>
      <c r="C6" s="50"/>
      <c r="D6" s="292" t="s">
        <v>175</v>
      </c>
      <c r="E6" s="304" t="s">
        <v>11</v>
      </c>
      <c r="F6" s="304" t="s">
        <v>86</v>
      </c>
      <c r="G6" s="724" t="s">
        <v>85</v>
      </c>
      <c r="H6" s="725"/>
      <c r="I6" s="304" t="s">
        <v>159</v>
      </c>
      <c r="J6" s="50"/>
      <c r="K6" s="122">
        <f>IF(D7="Misc/Other Veh",1,IF(D7="Agri Tract &lt; 6 HP",2,IF(D7="Agri Trailers",3,4)))</f>
        <v>1</v>
      </c>
      <c r="L6" s="39"/>
      <c r="M6" s="276"/>
      <c r="N6" s="722"/>
      <c r="O6" s="279"/>
      <c r="P6" s="722"/>
      <c r="Q6" s="280"/>
      <c r="R6" s="39"/>
      <c r="S6" s="39"/>
      <c r="T6" s="39"/>
      <c r="U6" s="39"/>
      <c r="V6" s="39"/>
      <c r="W6" s="39"/>
      <c r="X6" s="39"/>
      <c r="Y6" s="39"/>
      <c r="Z6" s="64" t="s">
        <v>97</v>
      </c>
      <c r="AA6" s="42">
        <v>45</v>
      </c>
    </row>
    <row r="7" spans="1:27" s="43" customFormat="1" ht="33.75" customHeight="1">
      <c r="A7" s="39"/>
      <c r="B7" s="49"/>
      <c r="C7" s="50"/>
      <c r="D7" s="51" t="s">
        <v>176</v>
      </c>
      <c r="E7" s="51" t="s">
        <v>136</v>
      </c>
      <c r="F7" s="56">
        <v>2</v>
      </c>
      <c r="G7" s="643" t="s">
        <v>403</v>
      </c>
      <c r="H7" s="644"/>
      <c r="I7" s="51" t="s">
        <v>305</v>
      </c>
      <c r="J7" s="52"/>
      <c r="K7" s="122">
        <f>IF(E7="Zone:  A",1,IF(E7="Zone:  B",2,3))</f>
        <v>3</v>
      </c>
      <c r="L7" s="39"/>
      <c r="M7" s="276"/>
      <c r="N7" s="723"/>
      <c r="O7" s="279"/>
      <c r="P7" s="723"/>
      <c r="Q7" s="280"/>
      <c r="R7" s="39"/>
      <c r="S7" s="39"/>
      <c r="T7" s="217">
        <f>IF(D15="Owner PA - Yes",1,2)</f>
        <v>1</v>
      </c>
      <c r="U7" s="217">
        <f>IF(E15="TPPD - Wider",1,2)</f>
        <v>1</v>
      </c>
      <c r="V7" s="217">
        <f>IF(K4=2,2,IF(F15="Anti Theft - Yes",1,2))</f>
        <v>2</v>
      </c>
      <c r="W7" s="738">
        <f>IF(G15="IMT 23 - Yes",1,2)</f>
        <v>1</v>
      </c>
      <c r="X7" s="738"/>
      <c r="Y7" s="217">
        <f>IF(I15="Geog Ext - Yes",1,2)</f>
        <v>2</v>
      </c>
      <c r="Z7" s="200">
        <f>IF(F7&lt;0.3,0.45,IF(F7&lt;1.01,0.55,IF(F7&lt;2.01,0.7,0)))</f>
        <v>0.7</v>
      </c>
      <c r="AA7" s="42">
        <v>50</v>
      </c>
    </row>
    <row r="8" spans="1:27" s="43" customFormat="1" ht="19.5" customHeight="1">
      <c r="A8" s="39"/>
      <c r="B8" s="49"/>
      <c r="C8" s="53"/>
      <c r="D8" s="215"/>
      <c r="E8" s="215"/>
      <c r="F8" s="215"/>
      <c r="G8" s="215"/>
      <c r="H8" s="215"/>
      <c r="I8" s="215"/>
      <c r="J8" s="53"/>
      <c r="K8" s="122">
        <f>IF(I7="Not Required",0,IF(I7="Yes 1/Emp",1,IF(I7="Yes 2/Emp",2,3)))</f>
        <v>1</v>
      </c>
      <c r="L8" s="39"/>
      <c r="M8" s="276"/>
      <c r="N8" s="278"/>
      <c r="O8" s="279"/>
      <c r="P8" s="285"/>
      <c r="Q8" s="280"/>
      <c r="R8" s="39"/>
      <c r="S8" s="39"/>
      <c r="T8" s="39"/>
      <c r="U8" s="218" t="s">
        <v>177</v>
      </c>
      <c r="V8" s="218" t="s">
        <v>178</v>
      </c>
      <c r="W8" s="218" t="s">
        <v>179</v>
      </c>
      <c r="X8" s="218" t="s">
        <v>180</v>
      </c>
      <c r="Y8" s="39"/>
      <c r="Z8" s="203" t="str">
        <f>IF(K4=2,"Not Applicable",IF(F7&gt;2,"Not Avb","Yes"))</f>
        <v>Yes</v>
      </c>
      <c r="AA8" s="42">
        <v>65</v>
      </c>
    </row>
    <row r="9" spans="1:27" s="43" customFormat="1" ht="21.75" customHeight="1">
      <c r="A9" s="39"/>
      <c r="B9" s="49"/>
      <c r="C9" s="50"/>
      <c r="D9" s="292" t="str">
        <f>IF(F7&lt;5.01,"IDV of Vehicle","Sum Insured")</f>
        <v>IDV of Vehicle</v>
      </c>
      <c r="E9" s="292" t="s">
        <v>90</v>
      </c>
      <c r="F9" s="292" t="s">
        <v>91</v>
      </c>
      <c r="G9" s="739" t="s">
        <v>432</v>
      </c>
      <c r="H9" s="739"/>
      <c r="I9" s="304" t="s">
        <v>93</v>
      </c>
      <c r="J9" s="50"/>
      <c r="K9" s="650" t="s">
        <v>94</v>
      </c>
      <c r="L9" s="651"/>
      <c r="M9" s="276"/>
      <c r="N9" s="278"/>
      <c r="O9" s="279"/>
      <c r="P9" s="285"/>
      <c r="Q9" s="280"/>
      <c r="R9" s="39"/>
      <c r="S9" s="39"/>
      <c r="T9" s="39"/>
      <c r="U9" s="219">
        <f>IF(K6=1,Y5,IF(K6=2,Y5,0))</f>
        <v>1.19</v>
      </c>
      <c r="V9" s="219">
        <f>IF(K6=3,W5,IF(K6=4,X5,U9))</f>
        <v>1.19</v>
      </c>
      <c r="W9" s="220">
        <f>IF(K6=1,Z2,Z3)</f>
        <v>6115</v>
      </c>
      <c r="X9" s="220">
        <f>IF(K16=0,0,((IF(K6=3,Z4,Z5)*K16)))</f>
        <v>0</v>
      </c>
      <c r="Y9" s="39"/>
      <c r="Z9" s="203" t="str">
        <f>IF(K4=2,"Not Applicable",IF(F7&gt;2,"Not Avb","No"))</f>
        <v>No</v>
      </c>
      <c r="AA9" s="39"/>
    </row>
    <row r="10" spans="1:27" s="43" customFormat="1" ht="33.75" customHeight="1">
      <c r="A10" s="39"/>
      <c r="B10" s="49"/>
      <c r="C10" s="50"/>
      <c r="D10" s="181">
        <v>909099</v>
      </c>
      <c r="E10" s="181">
        <v>0</v>
      </c>
      <c r="F10" s="181">
        <v>0</v>
      </c>
      <c r="G10" s="740">
        <v>0</v>
      </c>
      <c r="H10" s="741"/>
      <c r="I10" s="51" t="s">
        <v>429</v>
      </c>
      <c r="J10" s="52"/>
      <c r="K10" s="624">
        <v>54</v>
      </c>
      <c r="L10" s="625"/>
      <c r="M10" s="276"/>
      <c r="N10" s="278"/>
      <c r="O10" s="279"/>
      <c r="P10" s="285"/>
      <c r="Q10" s="280"/>
      <c r="R10" s="39"/>
      <c r="S10" s="39"/>
      <c r="T10" s="39"/>
      <c r="U10" s="39"/>
      <c r="V10" s="39"/>
      <c r="W10" s="39"/>
      <c r="X10" s="39"/>
      <c r="Y10" s="39"/>
      <c r="Z10" s="200">
        <f>IF(K10&gt;I13,I13,Z7)</f>
        <v>0.7</v>
      </c>
      <c r="AA10" s="39"/>
    </row>
    <row r="11" spans="1:27" s="43" customFormat="1" ht="19.5" customHeight="1">
      <c r="A11" s="39"/>
      <c r="B11" s="49"/>
      <c r="C11" s="53"/>
      <c r="D11" s="215"/>
      <c r="E11" s="215"/>
      <c r="F11" s="215"/>
      <c r="G11" s="215"/>
      <c r="H11" s="215"/>
      <c r="I11" s="215"/>
      <c r="J11" s="53"/>
      <c r="K11" s="122"/>
      <c r="L11" s="39"/>
      <c r="M11" s="276"/>
      <c r="N11" s="319" t="s">
        <v>209</v>
      </c>
      <c r="O11" s="279"/>
      <c r="P11" s="319" t="s">
        <v>211</v>
      </c>
      <c r="Q11" s="280"/>
      <c r="R11" s="39"/>
      <c r="S11" s="39"/>
      <c r="T11" s="39"/>
      <c r="U11" s="39"/>
      <c r="V11" s="39"/>
      <c r="W11" s="39"/>
      <c r="X11" s="39"/>
      <c r="Y11" s="39"/>
      <c r="Z11" s="200">
        <f>IF(K10&gt;I13,I13,K10)</f>
        <v>54</v>
      </c>
      <c r="AA11" s="39"/>
    </row>
    <row r="12" spans="1:27" s="43" customFormat="1" ht="19.5" customHeight="1">
      <c r="A12" s="39"/>
      <c r="B12" s="49"/>
      <c r="C12" s="50"/>
      <c r="D12" s="305" t="s">
        <v>181</v>
      </c>
      <c r="E12" s="476" t="s">
        <v>435</v>
      </c>
      <c r="F12" s="305" t="s">
        <v>182</v>
      </c>
      <c r="G12" s="707" t="s">
        <v>103</v>
      </c>
      <c r="H12" s="707"/>
      <c r="I12" s="292" t="s">
        <v>104</v>
      </c>
      <c r="J12" s="53"/>
      <c r="K12" s="122"/>
      <c r="L12" s="39"/>
      <c r="M12" s="276"/>
      <c r="N12" s="721">
        <f>IF(AA59=0,"Not Avb",AA59)</f>
        <v>8833</v>
      </c>
      <c r="O12" s="279"/>
      <c r="P12" s="721">
        <f>IF(Z59=0,"Not Avb",Z59)</f>
        <v>12970</v>
      </c>
      <c r="Q12" s="280"/>
      <c r="R12" s="39"/>
      <c r="S12" s="39"/>
      <c r="T12" s="39"/>
      <c r="U12" s="39"/>
      <c r="V12" s="39"/>
      <c r="W12" s="39"/>
      <c r="X12" s="39"/>
      <c r="Y12" s="39"/>
      <c r="Z12" s="39"/>
      <c r="AA12" s="39"/>
    </row>
    <row r="13" spans="1:27" s="43" customFormat="1" ht="33.75" customHeight="1">
      <c r="A13" s="39"/>
      <c r="B13" s="49"/>
      <c r="C13" s="50"/>
      <c r="D13" s="183" t="s">
        <v>95</v>
      </c>
      <c r="E13" s="181">
        <v>0</v>
      </c>
      <c r="F13" s="183" t="s">
        <v>434</v>
      </c>
      <c r="G13" s="742">
        <v>20</v>
      </c>
      <c r="H13" s="742"/>
      <c r="I13" s="221">
        <v>93.69</v>
      </c>
      <c r="J13" s="53"/>
      <c r="K13" s="122">
        <f>IF(G9="CNG/LPG - Yes",1,2)</f>
        <v>2</v>
      </c>
      <c r="L13" s="39"/>
      <c r="M13" s="276"/>
      <c r="N13" s="722"/>
      <c r="O13" s="279"/>
      <c r="P13" s="722"/>
      <c r="Q13" s="280"/>
      <c r="R13" s="39"/>
      <c r="S13" s="39"/>
      <c r="T13" s="87"/>
      <c r="U13" s="39"/>
      <c r="V13" s="39"/>
      <c r="W13" s="39"/>
      <c r="X13" s="39"/>
      <c r="Y13" s="39"/>
      <c r="Z13" s="39"/>
      <c r="AA13" s="39"/>
    </row>
    <row r="14" spans="1:27" s="43" customFormat="1" ht="19.5" customHeight="1">
      <c r="A14" s="39"/>
      <c r="B14" s="49"/>
      <c r="C14" s="53"/>
      <c r="D14" s="215"/>
      <c r="E14" s="215"/>
      <c r="F14" s="215"/>
      <c r="G14" s="215"/>
      <c r="H14" s="215"/>
      <c r="I14" s="215"/>
      <c r="J14" s="53"/>
      <c r="K14" s="122">
        <f>IF(I10="Yes",1,2)</f>
        <v>2</v>
      </c>
      <c r="L14" s="39"/>
      <c r="M14" s="276"/>
      <c r="N14" s="723"/>
      <c r="O14" s="279"/>
      <c r="P14" s="723"/>
      <c r="Q14" s="280"/>
      <c r="R14" s="39"/>
      <c r="S14" s="39"/>
      <c r="T14" s="39"/>
      <c r="U14" s="39"/>
      <c r="V14" s="39"/>
      <c r="W14" s="39"/>
      <c r="X14" s="39"/>
      <c r="Y14" s="39"/>
      <c r="Z14" s="39"/>
      <c r="AA14" s="39"/>
    </row>
    <row r="15" spans="1:27" s="43" customFormat="1" ht="27" customHeight="1">
      <c r="A15" s="39"/>
      <c r="B15" s="49"/>
      <c r="C15" s="50"/>
      <c r="D15" s="390" t="s">
        <v>404</v>
      </c>
      <c r="E15" s="306" t="s">
        <v>163</v>
      </c>
      <c r="F15" s="476" t="s">
        <v>431</v>
      </c>
      <c r="G15" s="730" t="s">
        <v>164</v>
      </c>
      <c r="H15" s="730"/>
      <c r="I15" s="476" t="s">
        <v>251</v>
      </c>
      <c r="J15" s="53"/>
      <c r="K15" s="122">
        <f>IF(D13="Yes",1,2)</f>
        <v>1</v>
      </c>
      <c r="L15" s="39"/>
      <c r="M15" s="276"/>
      <c r="N15" s="315"/>
      <c r="O15" s="279"/>
      <c r="P15" s="285"/>
      <c r="Q15" s="280"/>
      <c r="R15" s="39"/>
      <c r="S15" s="39"/>
      <c r="T15" s="39"/>
      <c r="U15" s="39"/>
      <c r="V15" s="39"/>
      <c r="W15" s="39"/>
      <c r="X15" s="39"/>
      <c r="Y15" s="39"/>
      <c r="Z15" s="39"/>
      <c r="AA15" s="39"/>
    </row>
    <row r="16" spans="1:27" s="43" customFormat="1" ht="19.5" customHeight="1">
      <c r="A16" s="39"/>
      <c r="B16" s="49"/>
      <c r="C16" s="53"/>
      <c r="D16" s="53"/>
      <c r="E16" s="53"/>
      <c r="F16" s="53"/>
      <c r="G16" s="53"/>
      <c r="H16" s="53"/>
      <c r="I16" s="53"/>
      <c r="J16" s="53"/>
      <c r="K16" s="122">
        <f>IF(E12="Trailors - One",1,0)</f>
        <v>0</v>
      </c>
      <c r="L16" s="39"/>
      <c r="M16" s="276"/>
      <c r="N16" s="715" t="s">
        <v>238</v>
      </c>
      <c r="O16" s="716"/>
      <c r="P16" s="717"/>
      <c r="Q16" s="280"/>
      <c r="R16" s="39"/>
      <c r="S16" s="39"/>
      <c r="T16" s="39"/>
      <c r="U16" s="39"/>
      <c r="V16" s="39"/>
      <c r="W16" s="39"/>
      <c r="X16" s="39"/>
      <c r="Y16" s="39"/>
      <c r="Z16" s="39"/>
      <c r="AA16" s="39"/>
    </row>
    <row r="17" spans="1:27" s="43" customFormat="1" ht="24" customHeight="1">
      <c r="A17" s="39"/>
      <c r="B17" s="610" t="str">
        <f>'Pvt Car'!B20:J20</f>
        <v>SmartCalc… Most Reliable, Simple, Fast and Efficient - Lingachari Oriental</v>
      </c>
      <c r="C17" s="611"/>
      <c r="D17" s="611"/>
      <c r="E17" s="611"/>
      <c r="F17" s="611"/>
      <c r="G17" s="611"/>
      <c r="H17" s="611"/>
      <c r="I17" s="611"/>
      <c r="J17" s="612"/>
      <c r="K17" s="125">
        <f>IF(F13="Limited (OD Only)",1,2)</f>
        <v>2</v>
      </c>
      <c r="L17" s="39"/>
      <c r="M17" s="277"/>
      <c r="N17" s="718"/>
      <c r="O17" s="719"/>
      <c r="P17" s="720"/>
      <c r="Q17" s="283"/>
      <c r="R17" s="39"/>
      <c r="S17" s="39"/>
      <c r="T17" s="39"/>
      <c r="U17" s="39"/>
      <c r="V17" s="39"/>
      <c r="W17" s="39"/>
      <c r="X17" s="39"/>
      <c r="Y17" s="39"/>
      <c r="Z17" s="39"/>
      <c r="AA17" s="39"/>
    </row>
    <row r="18" spans="1:27" s="78" customFormat="1" ht="20.25" customHeight="1">
      <c r="A18" s="75"/>
      <c r="B18" s="222"/>
      <c r="C18" s="222"/>
      <c r="D18" s="222"/>
      <c r="E18" s="222"/>
      <c r="F18" s="222"/>
      <c r="G18" s="222"/>
      <c r="H18" s="222"/>
      <c r="I18" s="222"/>
      <c r="J18" s="222"/>
      <c r="K18" s="222"/>
      <c r="L18" s="39"/>
      <c r="M18" s="39"/>
      <c r="N18" s="39"/>
      <c r="O18" s="39"/>
      <c r="P18" s="39"/>
      <c r="Q18" s="39"/>
      <c r="R18" s="39"/>
      <c r="S18" s="39"/>
      <c r="T18" s="39"/>
      <c r="U18" s="39"/>
      <c r="V18" s="39"/>
      <c r="W18" s="39"/>
      <c r="X18" s="39"/>
      <c r="Y18" s="39"/>
      <c r="Z18" s="39"/>
      <c r="AA18" s="39"/>
    </row>
    <row r="19" spans="1:28" s="43" customFormat="1" ht="24.75" customHeight="1">
      <c r="A19" s="79"/>
      <c r="B19" s="614">
        <f ca="1">TODAY()</f>
        <v>43469</v>
      </c>
      <c r="C19" s="614"/>
      <c r="D19" s="614"/>
      <c r="E19" s="614"/>
      <c r="F19" s="614"/>
      <c r="G19" s="614"/>
      <c r="H19" s="614"/>
      <c r="I19" s="614"/>
      <c r="J19" s="614"/>
      <c r="K19" s="614"/>
      <c r="L19" s="39"/>
      <c r="M19" s="39"/>
      <c r="N19" s="39"/>
      <c r="O19" s="39"/>
      <c r="P19" s="39"/>
      <c r="Q19" s="39"/>
      <c r="R19" s="39"/>
      <c r="S19" s="39"/>
      <c r="T19" s="39"/>
      <c r="U19" s="39"/>
      <c r="V19" s="39"/>
      <c r="W19" s="39"/>
      <c r="X19" s="39"/>
      <c r="Y19" s="39"/>
      <c r="Z19" s="39"/>
      <c r="AA19" s="74"/>
      <c r="AB19" s="80" t="str">
        <f>CONCATENATE(IF(E4="","Dear Sir/Madam,",E4),CHAR(10),CHAR(10),"Thank you for contacting us for obtaining Premium Details of our Co's Misc Class of Insurance Policy and we wish to furnish the details of the same, for your kind reference:")</f>
        <v>Mr. Gogulamudi Lingachari
Thank you for contacting us for obtaining Premium Details of our Co's Misc Class of Insurance Policy and we wish to furnish the details of the same, for your kind reference:</v>
      </c>
    </row>
    <row r="20" spans="1:28" s="43" customFormat="1" ht="24.75" customHeight="1">
      <c r="A20" s="79"/>
      <c r="B20" s="617" t="s">
        <v>9</v>
      </c>
      <c r="C20" s="617"/>
      <c r="D20" s="617"/>
      <c r="E20" s="617"/>
      <c r="F20" s="617"/>
      <c r="G20" s="617"/>
      <c r="H20" s="617"/>
      <c r="I20" s="617"/>
      <c r="J20" s="617"/>
      <c r="K20" s="617"/>
      <c r="L20" s="39"/>
      <c r="M20" s="39"/>
      <c r="N20" s="39"/>
      <c r="O20" s="39"/>
      <c r="P20" s="39"/>
      <c r="Q20" s="39"/>
      <c r="R20" s="39"/>
      <c r="S20" s="39"/>
      <c r="T20" s="39"/>
      <c r="U20" s="39"/>
      <c r="V20" s="39"/>
      <c r="W20" s="39"/>
      <c r="X20" s="39"/>
      <c r="Y20" s="39"/>
      <c r="Z20" s="39"/>
      <c r="AA20" s="74"/>
      <c r="AB20" s="81" t="str">
        <f>CONCATENATE(AB22,AB23,AB24,AB25,AB26,AB27,AB28,AB29,AB30,AB31,AC31,AC32,AC33)</f>
        <v>     #  Name of the Registered Owner:  Mr. Gogulamudi Lingachari
     #  Make and Model of the Vehicle:  Tata Hitachi
     #  Type of Policy/Cover Opted:  Package Policy, NDP Cover
     #  Sum Insured of Vehicle:  Rs.909099/- 
     #  Over Turning Cover, Opted if any:  Yes, Opted
     #  Age of Vehicle (As per RC):  2 Year(s)
FALSE     #  Owner-Driver-PA Cover:  Opted
     #  NCB (No Clam Bonus):  20% (on Renewal of Cover)
</v>
      </c>
    </row>
    <row r="21" spans="1:28" s="43" customFormat="1" ht="24.75" customHeight="1">
      <c r="A21" s="79"/>
      <c r="B21" s="604" t="str">
        <f>Sign!F4</f>
        <v>DO-VI, Begumpet, Hyderabad - 500 016</v>
      </c>
      <c r="C21" s="604"/>
      <c r="D21" s="604"/>
      <c r="E21" s="604"/>
      <c r="F21" s="604"/>
      <c r="G21" s="604"/>
      <c r="H21" s="604"/>
      <c r="I21" s="604"/>
      <c r="J21" s="604"/>
      <c r="K21" s="604"/>
      <c r="L21" s="39"/>
      <c r="M21" s="39"/>
      <c r="N21" s="39"/>
      <c r="O21" s="39"/>
      <c r="P21" s="39"/>
      <c r="Q21" s="39"/>
      <c r="R21" s="39"/>
      <c r="S21" s="39"/>
      <c r="T21" s="39"/>
      <c r="U21" s="39"/>
      <c r="V21" s="39"/>
      <c r="W21" s="39"/>
      <c r="X21" s="39"/>
      <c r="Y21" s="39"/>
      <c r="Z21" s="39"/>
      <c r="AA21" s="74"/>
      <c r="AB21" s="80" t="str">
        <f>CONCATENATE(CHAR(10),"Premium is to paid for An Amount of Rs.",I59,"/- Inclusive of Ser Tax @ ",Sign!F15,"% towards ",IF(G13="","Issuance of ",IF(G13=0,"Issuance of ","Renewal of ")),I4," for the above Risk.",CHAR(10),CHAR(10),"Request you to arrange the above quoted premium along with the required vehicle documents, to enable us to issue the policy at the earliest.")</f>
        <v>
Premium is to paid for An Amount of Rs.8833/- Inclusive of Ser Tax @ 18% towards Renewal of Package Policy for the above Risk.
Request you to arrange the above quoted premium along with the required vehicle documents, to enable us to issue the policy at the earliest.</v>
      </c>
    </row>
    <row r="22" spans="1:28" s="43" customFormat="1" ht="20.25" customHeight="1">
      <c r="A22" s="79"/>
      <c r="B22" s="82"/>
      <c r="C22" s="678" t="str">
        <f>CONCATENATE("Premium Quotation for Misc and Class - D Vehicles - ",I4)</f>
        <v>Premium Quotation for Misc and Class - D Vehicles - Package Policy</v>
      </c>
      <c r="D22" s="678"/>
      <c r="E22" s="678"/>
      <c r="F22" s="678"/>
      <c r="G22" s="678"/>
      <c r="H22" s="678"/>
      <c r="I22" s="678"/>
      <c r="J22" s="678"/>
      <c r="K22" s="679"/>
      <c r="L22" s="39"/>
      <c r="M22" s="39"/>
      <c r="N22" s="39"/>
      <c r="O22" s="39"/>
      <c r="P22" s="39"/>
      <c r="Q22" s="39"/>
      <c r="R22" s="39"/>
      <c r="S22" s="39"/>
      <c r="T22" s="39"/>
      <c r="U22" s="39"/>
      <c r="V22" s="39"/>
      <c r="W22" s="39"/>
      <c r="X22" s="39"/>
      <c r="Y22" s="39"/>
      <c r="Z22" s="39"/>
      <c r="AA22" s="74"/>
      <c r="AB22" s="86" t="str">
        <f>CONCATENATE("     #  ",D24,":  ",H24,CHAR(10))</f>
        <v>     #  Name of the Registered Owner:  Mr. Gogulamudi Lingachari
</v>
      </c>
    </row>
    <row r="23" spans="1:28" s="43" customFormat="1" ht="6" customHeight="1">
      <c r="A23" s="79"/>
      <c r="B23" s="83"/>
      <c r="C23" s="84"/>
      <c r="D23" s="84"/>
      <c r="E23" s="84"/>
      <c r="F23" s="84"/>
      <c r="G23" s="84"/>
      <c r="H23" s="84"/>
      <c r="I23" s="84"/>
      <c r="J23" s="84"/>
      <c r="K23" s="85"/>
      <c r="L23" s="39"/>
      <c r="M23" s="39"/>
      <c r="N23" s="39"/>
      <c r="O23" s="39"/>
      <c r="P23" s="39"/>
      <c r="Q23" s="39"/>
      <c r="R23" s="39"/>
      <c r="S23" s="39"/>
      <c r="T23" s="39"/>
      <c r="U23" s="39"/>
      <c r="V23" s="39"/>
      <c r="W23" s="39"/>
      <c r="X23" s="39"/>
      <c r="Y23" s="39"/>
      <c r="Z23" s="39"/>
      <c r="AA23" s="74"/>
      <c r="AB23" s="86" t="str">
        <f>CONCATENATE("     #  ",D25,":  ",H25,CHAR(10))</f>
        <v>     #  Make and Model of the Vehicle:  Tata Hitachi
</v>
      </c>
    </row>
    <row r="24" spans="1:28" s="43" customFormat="1" ht="20.25" customHeight="1">
      <c r="A24" s="75"/>
      <c r="B24" s="83"/>
      <c r="C24" s="84"/>
      <c r="D24" s="652" t="s">
        <v>462</v>
      </c>
      <c r="E24" s="652"/>
      <c r="F24" s="652"/>
      <c r="G24" s="89" t="s">
        <v>106</v>
      </c>
      <c r="H24" s="662" t="str">
        <f>E4</f>
        <v>Mr. Gogulamudi Lingachari</v>
      </c>
      <c r="I24" s="662"/>
      <c r="J24" s="89"/>
      <c r="K24" s="90"/>
      <c r="L24" s="39"/>
      <c r="M24" s="39"/>
      <c r="N24" s="39"/>
      <c r="O24" s="39"/>
      <c r="P24" s="39"/>
      <c r="Q24" s="39"/>
      <c r="R24" s="39"/>
      <c r="S24" s="39"/>
      <c r="T24" s="39"/>
      <c r="U24" s="39"/>
      <c r="V24" s="39"/>
      <c r="W24" s="39"/>
      <c r="X24" s="39"/>
      <c r="Y24" s="39"/>
      <c r="Z24" s="39"/>
      <c r="AA24" s="74"/>
      <c r="AB24" s="86" t="str">
        <f>CONCATENATE("     #  ",D26,":  ",IF(K4=2,"Liability Only",IF(K4=1,(CONCATENATE("Package Policy",IF(K13=3,"",", NDP Cover"),IF(K14=2,"",", RTI Cover"))))),CHAR(10))</f>
        <v>     #  Type of Policy/Cover Opted:  Package Policy, NDP Cover
</v>
      </c>
    </row>
    <row r="25" spans="1:28" s="43" customFormat="1" ht="20.25" customHeight="1">
      <c r="A25" s="75"/>
      <c r="B25" s="83"/>
      <c r="C25" s="84"/>
      <c r="D25" s="652" t="s">
        <v>108</v>
      </c>
      <c r="E25" s="652"/>
      <c r="F25" s="652"/>
      <c r="G25" s="89" t="s">
        <v>106</v>
      </c>
      <c r="H25" s="662" t="str">
        <f>PROPER(G7)</f>
        <v>Tata Hitachi</v>
      </c>
      <c r="I25" s="662"/>
      <c r="J25" s="89"/>
      <c r="K25" s="90"/>
      <c r="L25" s="39"/>
      <c r="M25" s="39"/>
      <c r="N25" s="39"/>
      <c r="O25" s="39"/>
      <c r="P25" s="39"/>
      <c r="Q25" s="39"/>
      <c r="R25" s="39"/>
      <c r="S25" s="39"/>
      <c r="T25" s="39"/>
      <c r="U25" s="39"/>
      <c r="V25" s="39"/>
      <c r="W25" s="39"/>
      <c r="X25" s="39"/>
      <c r="Y25" s="39"/>
      <c r="Z25" s="39"/>
      <c r="AA25" s="74"/>
      <c r="AB25" s="86" t="str">
        <f>CONCATENATE("     #  ",D27,":  Rs.",H27,"/- ",CHAR(10))</f>
        <v>     #  Sum Insured of Vehicle:  Rs.909099/- 
</v>
      </c>
    </row>
    <row r="26" spans="1:28" s="43" customFormat="1" ht="20.25" customHeight="1">
      <c r="A26" s="75"/>
      <c r="B26" s="83"/>
      <c r="C26" s="84"/>
      <c r="D26" s="652" t="s">
        <v>109</v>
      </c>
      <c r="E26" s="652"/>
      <c r="F26" s="652"/>
      <c r="G26" s="89" t="s">
        <v>106</v>
      </c>
      <c r="H26" s="662" t="str">
        <f>I4</f>
        <v>Package Policy</v>
      </c>
      <c r="I26" s="662"/>
      <c r="J26" s="89"/>
      <c r="K26" s="90"/>
      <c r="L26" s="39"/>
      <c r="M26" s="39"/>
      <c r="N26" s="39"/>
      <c r="O26" s="39"/>
      <c r="P26" s="39"/>
      <c r="Q26" s="39"/>
      <c r="R26" s="39"/>
      <c r="S26" s="39"/>
      <c r="T26" s="39"/>
      <c r="U26" s="39"/>
      <c r="V26" s="39"/>
      <c r="W26" s="39"/>
      <c r="X26" s="39"/>
      <c r="Y26" s="39"/>
      <c r="Z26" s="39"/>
      <c r="AA26" s="201"/>
      <c r="AB26" s="86">
        <f>IF(K4=2,"",IF(E10=0,"",(CONCATENATE("     #  ",D28,":  Rs.",H28,"/- ",CHAR(10)))))</f>
      </c>
    </row>
    <row r="27" spans="1:28" s="43" customFormat="1" ht="20.25" customHeight="1">
      <c r="A27" s="75"/>
      <c r="B27" s="83"/>
      <c r="C27" s="84"/>
      <c r="D27" s="652" t="str">
        <f>IF(F12&lt;5.01,"IDV (Insured's Declared Value) of Vehicle","Sum Insured of Vehicle")</f>
        <v>Sum Insured of Vehicle</v>
      </c>
      <c r="E27" s="652"/>
      <c r="F27" s="652"/>
      <c r="G27" s="89" t="s">
        <v>106</v>
      </c>
      <c r="H27" s="743">
        <f>D10</f>
        <v>909099</v>
      </c>
      <c r="I27" s="743"/>
      <c r="J27" s="89"/>
      <c r="K27" s="90"/>
      <c r="L27" s="39"/>
      <c r="M27" s="39"/>
      <c r="N27" s="39"/>
      <c r="O27" s="39"/>
      <c r="P27" s="39"/>
      <c r="Q27" s="39"/>
      <c r="R27" s="39"/>
      <c r="S27" s="39"/>
      <c r="T27" s="39"/>
      <c r="U27" s="39"/>
      <c r="V27" s="39"/>
      <c r="W27" s="39"/>
      <c r="X27" s="39"/>
      <c r="Y27" s="39"/>
      <c r="Z27" s="39"/>
      <c r="AA27" s="74"/>
      <c r="AB27" s="86">
        <f>IF(K4=2,"",IF(F10=0,"",(CONCATENATE("     #  ",D29,":  Rs.",H29,"/- ",CHAR(10)))))</f>
      </c>
    </row>
    <row r="28" spans="1:28" s="43" customFormat="1" ht="20.25" customHeight="1">
      <c r="A28" s="75"/>
      <c r="B28" s="83"/>
      <c r="C28" s="84"/>
      <c r="D28" s="652" t="s">
        <v>110</v>
      </c>
      <c r="E28" s="652"/>
      <c r="F28" s="652"/>
      <c r="G28" s="89" t="s">
        <v>106</v>
      </c>
      <c r="H28" s="743">
        <f>E10</f>
        <v>0</v>
      </c>
      <c r="I28" s="743"/>
      <c r="J28" s="89"/>
      <c r="K28" s="90"/>
      <c r="L28" s="39"/>
      <c r="M28" s="39"/>
      <c r="N28" s="39"/>
      <c r="O28" s="39"/>
      <c r="P28" s="39"/>
      <c r="Q28" s="39"/>
      <c r="R28" s="39"/>
      <c r="S28" s="39"/>
      <c r="T28" s="39"/>
      <c r="U28" s="39"/>
      <c r="V28" s="39"/>
      <c r="W28" s="39"/>
      <c r="X28" s="39"/>
      <c r="Y28" s="39"/>
      <c r="Z28" s="39"/>
      <c r="AA28" s="74"/>
      <c r="AB28" s="86">
        <f>IF(K13=1,CONCATENATE("     #  ",D30,":  Rs.",H30,"/-",CHAR(10)),"")</f>
      </c>
    </row>
    <row r="29" spans="1:28" s="43" customFormat="1" ht="20.25" customHeight="1">
      <c r="A29" s="75"/>
      <c r="B29" s="83"/>
      <c r="C29" s="84"/>
      <c r="D29" s="652" t="s">
        <v>111</v>
      </c>
      <c r="E29" s="652"/>
      <c r="F29" s="652"/>
      <c r="G29" s="89" t="s">
        <v>106</v>
      </c>
      <c r="H29" s="743">
        <f>F10</f>
        <v>0</v>
      </c>
      <c r="I29" s="743"/>
      <c r="J29" s="89"/>
      <c r="K29" s="90"/>
      <c r="L29" s="39"/>
      <c r="M29" s="39"/>
      <c r="N29" s="39"/>
      <c r="O29" s="39"/>
      <c r="P29" s="39"/>
      <c r="Q29" s="39"/>
      <c r="R29" s="39"/>
      <c r="S29" s="39"/>
      <c r="T29" s="39"/>
      <c r="U29" s="39"/>
      <c r="V29" s="39"/>
      <c r="W29" s="39"/>
      <c r="X29" s="39"/>
      <c r="Y29" s="39"/>
      <c r="Z29" s="39"/>
      <c r="AA29" s="74"/>
      <c r="AB29" s="86" t="str">
        <f>IF(K4=2,"",IF(D13=0,"",(CONCATENATE("     #  ",D31,":  ",H31,", Opted",CHAR(10)))))</f>
        <v>     #  Over Turning Cover, Opted if any:  Yes, Opted
</v>
      </c>
    </row>
    <row r="30" spans="1:28" s="43" customFormat="1" ht="20.25" customHeight="1">
      <c r="A30" s="75"/>
      <c r="B30" s="83"/>
      <c r="C30" s="84"/>
      <c r="D30" s="652" t="s">
        <v>122</v>
      </c>
      <c r="E30" s="652"/>
      <c r="F30" s="652"/>
      <c r="G30" s="89" t="s">
        <v>106</v>
      </c>
      <c r="H30" s="743">
        <f>G10</f>
        <v>0</v>
      </c>
      <c r="I30" s="743"/>
      <c r="J30" s="89"/>
      <c r="K30" s="90"/>
      <c r="L30" s="39"/>
      <c r="M30" s="39"/>
      <c r="N30" s="39"/>
      <c r="O30" s="39"/>
      <c r="P30" s="39"/>
      <c r="Q30" s="39"/>
      <c r="R30" s="39"/>
      <c r="S30" s="39"/>
      <c r="T30" s="39"/>
      <c r="U30" s="39"/>
      <c r="V30" s="39"/>
      <c r="W30" s="39"/>
      <c r="X30" s="39"/>
      <c r="Y30" s="39"/>
      <c r="Z30" s="39"/>
      <c r="AA30" s="74"/>
      <c r="AB30" s="86" t="str">
        <f>CONCATENATE("     #  ",D32,":  ",(IF(F7="","New Vehicle",H32))," Year(s)",CHAR(10))</f>
        <v>     #  Age of Vehicle (As per RC):  2 Year(s)
</v>
      </c>
    </row>
    <row r="31" spans="1:29" s="43" customFormat="1" ht="20.25" customHeight="1">
      <c r="A31" s="75"/>
      <c r="B31" s="83"/>
      <c r="C31" s="84"/>
      <c r="D31" s="652" t="s">
        <v>183</v>
      </c>
      <c r="E31" s="652"/>
      <c r="F31" s="652"/>
      <c r="G31" s="89" t="s">
        <v>106</v>
      </c>
      <c r="H31" s="744" t="str">
        <f>D13</f>
        <v>Yes</v>
      </c>
      <c r="I31" s="744"/>
      <c r="J31" s="89"/>
      <c r="K31" s="90"/>
      <c r="L31" s="39"/>
      <c r="M31" s="39"/>
      <c r="N31" s="39"/>
      <c r="O31" s="39"/>
      <c r="P31" s="39"/>
      <c r="Q31" s="39"/>
      <c r="R31" s="39"/>
      <c r="S31" s="39"/>
      <c r="T31" s="39"/>
      <c r="U31" s="39"/>
      <c r="V31" s="39"/>
      <c r="W31" s="39"/>
      <c r="X31" s="39"/>
      <c r="Y31" s="39"/>
      <c r="Z31" s="39"/>
      <c r="AA31" s="74"/>
      <c r="AB31" s="86" t="b">
        <f>IF(K7=1,CONCATENATE("     #  ",D33,":  ",H33,CHAR(10)))</f>
        <v>0</v>
      </c>
      <c r="AC31" s="91" t="str">
        <f>IF(T7=2,"",CONCATENATE("     #  Owner-Driver-PA Cover:  Opted",CHAR(10)))</f>
        <v>     #  Owner-Driver-PA Cover:  Opted
</v>
      </c>
    </row>
    <row r="32" spans="1:29" s="43" customFormat="1" ht="20.25" customHeight="1">
      <c r="A32" s="75"/>
      <c r="B32" s="83"/>
      <c r="C32" s="84"/>
      <c r="D32" s="652" t="s">
        <v>113</v>
      </c>
      <c r="E32" s="652"/>
      <c r="F32" s="652"/>
      <c r="G32" s="89" t="s">
        <v>106</v>
      </c>
      <c r="H32" s="745">
        <f>IF(F7&lt;0.51,"New Vehicle",F7)</f>
        <v>2</v>
      </c>
      <c r="I32" s="745"/>
      <c r="J32" s="89"/>
      <c r="K32" s="90"/>
      <c r="L32" s="39"/>
      <c r="M32" s="39"/>
      <c r="N32" s="39"/>
      <c r="O32" s="39"/>
      <c r="P32" s="39"/>
      <c r="Q32" s="39"/>
      <c r="R32" s="39"/>
      <c r="S32" s="39"/>
      <c r="T32" s="39"/>
      <c r="U32" s="39"/>
      <c r="V32" s="39"/>
      <c r="W32" s="39"/>
      <c r="X32" s="39"/>
      <c r="Y32" s="39"/>
      <c r="Z32" s="39"/>
      <c r="AA32" s="74"/>
      <c r="AC32" s="91">
        <f>IF(U7=1,"",CONCATENATE("     #  Limited TPPD Cover:  Opted, Hence Deleted",CHAR(10)))</f>
      </c>
    </row>
    <row r="33" spans="1:29" s="43" customFormat="1" ht="20.25" customHeight="1">
      <c r="A33" s="75"/>
      <c r="B33" s="83"/>
      <c r="C33" s="84"/>
      <c r="D33" s="652" t="s">
        <v>114</v>
      </c>
      <c r="E33" s="652"/>
      <c r="F33" s="652"/>
      <c r="G33" s="89" t="s">
        <v>106</v>
      </c>
      <c r="H33" s="662" t="str">
        <f>E7</f>
        <v>Zone:  C</v>
      </c>
      <c r="I33" s="662"/>
      <c r="J33" s="89"/>
      <c r="K33" s="90"/>
      <c r="L33" s="39"/>
      <c r="M33" s="39"/>
      <c r="N33" s="39"/>
      <c r="O33" s="39"/>
      <c r="P33" s="39"/>
      <c r="Q33" s="39"/>
      <c r="R33" s="39"/>
      <c r="S33" s="39"/>
      <c r="T33" s="204"/>
      <c r="U33" s="39"/>
      <c r="V33" s="39"/>
      <c r="W33" s="39"/>
      <c r="X33" s="39"/>
      <c r="Y33" s="39"/>
      <c r="Z33" s="39"/>
      <c r="AA33" s="74"/>
      <c r="AC33" s="91" t="str">
        <f>IF(G13=0,"",IF(G13="","",CONCATENATE("     #  NCB (No Clam Bonus):  ",G13,"% (on Renewal of Cover)",CHAR(10))))</f>
        <v>     #  NCB (No Clam Bonus):  20% (on Renewal of Cover)
</v>
      </c>
    </row>
    <row r="34" spans="1:28" s="43" customFormat="1" ht="20.25" customHeight="1">
      <c r="A34" s="75"/>
      <c r="B34" s="83"/>
      <c r="C34" s="84"/>
      <c r="D34" s="656" t="s">
        <v>115</v>
      </c>
      <c r="E34" s="656"/>
      <c r="F34" s="656"/>
      <c r="G34" s="656"/>
      <c r="H34" s="656"/>
      <c r="I34" s="656"/>
      <c r="J34" s="84"/>
      <c r="K34" s="90"/>
      <c r="L34" s="39"/>
      <c r="M34" s="39"/>
      <c r="N34" s="39"/>
      <c r="O34" s="39"/>
      <c r="P34" s="39"/>
      <c r="Q34" s="39"/>
      <c r="R34" s="39"/>
      <c r="S34" s="39"/>
      <c r="T34" s="201"/>
      <c r="U34" s="39"/>
      <c r="V34" s="39"/>
      <c r="W34" s="314">
        <f>SUM(W35:W37)</f>
        <v>10818.2781</v>
      </c>
      <c r="X34" s="39"/>
      <c r="Y34" s="296" t="s">
        <v>236</v>
      </c>
      <c r="Z34" s="314" t="s">
        <v>250</v>
      </c>
      <c r="AA34" s="314" t="s">
        <v>217</v>
      </c>
      <c r="AB34" s="314" t="s">
        <v>218</v>
      </c>
    </row>
    <row r="35" spans="1:28" s="43" customFormat="1" ht="20.25" customHeight="1">
      <c r="A35" s="75"/>
      <c r="B35" s="83"/>
      <c r="C35" s="84"/>
      <c r="D35" s="657" t="str">
        <f>IF(U35&lt;24,"Basic OD Premium",(VLOOKUP(U35,$V$35:$X$48,3,0)))</f>
        <v>Basic OD Prem @ 1.19 % on Vehicle Value</v>
      </c>
      <c r="E35" s="657"/>
      <c r="F35" s="657"/>
      <c r="G35" s="657"/>
      <c r="H35" s="93" t="str">
        <f aca="true" t="shared" si="0" ref="H35:H48">IF(D35="","",":")</f>
        <v>:</v>
      </c>
      <c r="I35" s="94">
        <f>IF(U35&lt;24,0,VLOOKUP(U35,$V$35:$X$48,2,0))</f>
        <v>10818.2781</v>
      </c>
      <c r="J35" s="84"/>
      <c r="K35" s="90"/>
      <c r="L35" s="39"/>
      <c r="M35" s="39"/>
      <c r="N35" s="39"/>
      <c r="O35" s="39"/>
      <c r="P35" s="39"/>
      <c r="Q35" s="39"/>
      <c r="R35" s="103"/>
      <c r="S35" s="95">
        <v>1</v>
      </c>
      <c r="T35" s="96">
        <f aca="true" t="shared" si="1" ref="T35:T48">IF(W35=0,S35,V35)</f>
        <v>40</v>
      </c>
      <c r="U35" s="96">
        <f>LARGE($T$35:$T$48,ROWS(T35:T$35))</f>
        <v>40</v>
      </c>
      <c r="V35" s="96">
        <v>40</v>
      </c>
      <c r="W35" s="223">
        <f>IF($K$4=1,($D$10*$U$9%),0)</f>
        <v>10818.2781</v>
      </c>
      <c r="X35" s="313" t="str">
        <f>IF(W35=0,"Basic OD Premium",CONCATENATE("Basic OD Prem @ ",U9," % on Vehicle Value"))</f>
        <v>Basic OD Prem @ 1.19 % on Vehicle Value</v>
      </c>
      <c r="Y35" s="298" t="s">
        <v>141</v>
      </c>
      <c r="Z35" s="223">
        <f>$D$10*$U$9%</f>
        <v>10818.2781</v>
      </c>
      <c r="AA35" s="223">
        <f>$D$10*$U$9%</f>
        <v>10818.2781</v>
      </c>
      <c r="AB35" s="223"/>
    </row>
    <row r="36" spans="1:28" s="43" customFormat="1" ht="20.25" customHeight="1">
      <c r="A36" s="75"/>
      <c r="B36" s="83"/>
      <c r="C36" s="84"/>
      <c r="D36" s="657" t="str">
        <f aca="true" t="shared" si="2" ref="D36:D46">IF(U36&lt;24,"",(VLOOKUP(U36,$V$35:$X$48,3,0)))</f>
        <v>Add: Over Turning Cover (IMT-47)</v>
      </c>
      <c r="E36" s="657"/>
      <c r="F36" s="657"/>
      <c r="G36" s="657"/>
      <c r="H36" s="93" t="str">
        <f t="shared" si="0"/>
        <v>:</v>
      </c>
      <c r="I36" s="94">
        <f aca="true" t="shared" si="3" ref="I36:I48">IF(U36&lt;24,"",VLOOKUP(U36,$V$35:$X$48,2,0))</f>
        <v>4545.5</v>
      </c>
      <c r="J36" s="84"/>
      <c r="K36" s="90"/>
      <c r="L36" s="39"/>
      <c r="M36" s="39"/>
      <c r="N36" s="39"/>
      <c r="O36" s="39"/>
      <c r="P36" s="39"/>
      <c r="Q36" s="39"/>
      <c r="R36" s="103"/>
      <c r="S36" s="95">
        <f>S35+1</f>
        <v>2</v>
      </c>
      <c r="T36" s="96">
        <f t="shared" si="1"/>
        <v>2</v>
      </c>
      <c r="U36" s="96">
        <f>LARGE($T$35:$T$48,ROWS(T$35:T36))</f>
        <v>34</v>
      </c>
      <c r="V36" s="96">
        <f>V35-1</f>
        <v>39</v>
      </c>
      <c r="W36" s="224">
        <f>IF($W$35=0,0,$F$10*$U$9%)</f>
        <v>0</v>
      </c>
      <c r="X36" s="313">
        <f>IF(W36=0,"",CONCATENATE("Add: Prem @ ",U9,"% on Non-Ele Accs' Value"))</f>
      </c>
      <c r="Y36" s="298" t="s">
        <v>221</v>
      </c>
      <c r="Z36" s="224">
        <f>IF($Z$35=0,0,$F$10*$U$9%)</f>
        <v>0</v>
      </c>
      <c r="AA36" s="224">
        <f>IF($AA$35=0,0,$F$10*$U$9%)</f>
        <v>0</v>
      </c>
      <c r="AB36" s="224"/>
    </row>
    <row r="37" spans="1:28" s="43" customFormat="1" ht="20.25" customHeight="1">
      <c r="A37" s="75"/>
      <c r="B37" s="83"/>
      <c r="C37" s="84"/>
      <c r="D37" s="657" t="str">
        <f t="shared" si="2"/>
        <v>Add: IMT 23 (Coverage for IMT 21 Exclusions)</v>
      </c>
      <c r="E37" s="657"/>
      <c r="F37" s="657"/>
      <c r="G37" s="657"/>
      <c r="H37" s="93" t="str">
        <f t="shared" si="0"/>
        <v>:</v>
      </c>
      <c r="I37" s="94">
        <f t="shared" si="3"/>
        <v>2304.57</v>
      </c>
      <c r="J37" s="84"/>
      <c r="K37" s="90"/>
      <c r="L37" s="39"/>
      <c r="M37" s="39"/>
      <c r="N37" s="48"/>
      <c r="O37" s="39"/>
      <c r="P37" s="48"/>
      <c r="Q37" s="39"/>
      <c r="R37" s="103"/>
      <c r="S37" s="95">
        <f aca="true" t="shared" si="4" ref="S37:S48">S36+1</f>
        <v>3</v>
      </c>
      <c r="T37" s="96">
        <f t="shared" si="1"/>
        <v>3</v>
      </c>
      <c r="U37" s="96">
        <f>LARGE($T$35:$T$48,ROWS(T$35:T37))</f>
        <v>33</v>
      </c>
      <c r="V37" s="96">
        <f aca="true" t="shared" si="5" ref="V37:V48">V36-1</f>
        <v>38</v>
      </c>
      <c r="W37" s="224">
        <f>IF($K$4=2,0,$E$13*$V$9%)</f>
        <v>0</v>
      </c>
      <c r="X37" s="313">
        <f>IF(W37=0,"",CONCATENATE("Add: Prem @ ",V9,"% on Trailor Value"))</f>
      </c>
      <c r="Y37" s="298" t="s">
        <v>239</v>
      </c>
      <c r="Z37" s="224">
        <f>IF($Z$35=0,0,$E$13*$V$9%)</f>
        <v>0</v>
      </c>
      <c r="AA37" s="224">
        <f>IF($AA$35=0,0,$E$13*$V$9%)</f>
        <v>0</v>
      </c>
      <c r="AB37" s="224"/>
    </row>
    <row r="38" spans="1:28" s="43" customFormat="1" ht="20.25" customHeight="1">
      <c r="A38" s="75"/>
      <c r="B38" s="83"/>
      <c r="C38" s="84"/>
      <c r="D38" s="657" t="str">
        <f t="shared" si="2"/>
        <v>Less: U/w (De-Tariff) Discount @ 93.69%</v>
      </c>
      <c r="E38" s="657"/>
      <c r="F38" s="657"/>
      <c r="G38" s="657"/>
      <c r="H38" s="93" t="str">
        <f t="shared" si="0"/>
        <v>:</v>
      </c>
      <c r="I38" s="94">
        <f t="shared" si="3"/>
        <v>-16553</v>
      </c>
      <c r="J38" s="84"/>
      <c r="K38" s="90"/>
      <c r="L38" s="39"/>
      <c r="M38" s="39"/>
      <c r="N38" s="48"/>
      <c r="O38" s="39"/>
      <c r="P38" s="48"/>
      <c r="Q38" s="39"/>
      <c r="R38" s="103"/>
      <c r="S38" s="95">
        <f t="shared" si="4"/>
        <v>4</v>
      </c>
      <c r="T38" s="96">
        <f t="shared" si="1"/>
        <v>4</v>
      </c>
      <c r="U38" s="96">
        <f>LARGE($T$35:$T$48,ROWS(T$35:T38))</f>
        <v>32</v>
      </c>
      <c r="V38" s="96">
        <f t="shared" si="5"/>
        <v>37</v>
      </c>
      <c r="W38" s="224">
        <f>IF($W$35=0,0,$E$10*4%)</f>
        <v>0</v>
      </c>
      <c r="X38" s="313">
        <f>IF(W38=0,"","Add: Prem @ 4% for Ele Accessories' Value")</f>
      </c>
      <c r="Y38" s="298" t="s">
        <v>240</v>
      </c>
      <c r="Z38" s="224">
        <f>IF($Z$35=0,0,$E$10*4%)</f>
        <v>0</v>
      </c>
      <c r="AA38" s="224">
        <f>IF($AA$35=0,0,$E$10*4%)</f>
        <v>0</v>
      </c>
      <c r="AB38" s="224"/>
    </row>
    <row r="39" spans="1:28" s="43" customFormat="1" ht="20.25" customHeight="1">
      <c r="A39" s="75"/>
      <c r="B39" s="83"/>
      <c r="C39" s="84"/>
      <c r="D39" s="657" t="str">
        <f t="shared" si="2"/>
        <v>Less: NCB @ 20% (Subject to No Claim)</v>
      </c>
      <c r="E39" s="657"/>
      <c r="F39" s="657"/>
      <c r="G39" s="657"/>
      <c r="H39" s="93" t="str">
        <f t="shared" si="0"/>
        <v>:</v>
      </c>
      <c r="I39" s="94">
        <f t="shared" si="3"/>
        <v>-223.07</v>
      </c>
      <c r="J39" s="84"/>
      <c r="K39" s="90"/>
      <c r="L39" s="39"/>
      <c r="M39" s="39"/>
      <c r="N39" s="48"/>
      <c r="O39" s="39"/>
      <c r="P39" s="48"/>
      <c r="Q39" s="39"/>
      <c r="R39" s="103"/>
      <c r="S39" s="95">
        <f t="shared" si="4"/>
        <v>5</v>
      </c>
      <c r="T39" s="96">
        <f t="shared" si="1"/>
        <v>5</v>
      </c>
      <c r="U39" s="96">
        <f>LARGE($T$35:$T$48,ROWS(T$35:T39))</f>
        <v>27</v>
      </c>
      <c r="V39" s="96">
        <f t="shared" si="5"/>
        <v>36</v>
      </c>
      <c r="W39" s="224">
        <f>IF($W$35=0,0,IF($Y$7=1,500,0))</f>
        <v>0</v>
      </c>
      <c r="X39" s="313">
        <f>IF(W39=0,"","Add: Prem for Geographical Extension")</f>
      </c>
      <c r="Y39" s="298" t="s">
        <v>241</v>
      </c>
      <c r="Z39" s="224">
        <f>IF($Z$35=0,0,IF($Y$7=1,500,0))</f>
        <v>0</v>
      </c>
      <c r="AA39" s="224">
        <f>IF($AA$35=0,0,IF($Y$7=1,500,0))</f>
        <v>0</v>
      </c>
      <c r="AB39" s="224"/>
    </row>
    <row r="40" spans="1:28" s="43" customFormat="1" ht="20.25" customHeight="1">
      <c r="A40" s="75"/>
      <c r="B40" s="83"/>
      <c r="C40" s="84"/>
      <c r="D40" s="657">
        <f t="shared" si="2"/>
      </c>
      <c r="E40" s="657"/>
      <c r="F40" s="657"/>
      <c r="G40" s="657"/>
      <c r="H40" s="93">
        <f t="shared" si="0"/>
      </c>
      <c r="I40" s="94">
        <f t="shared" si="3"/>
      </c>
      <c r="J40" s="84"/>
      <c r="K40" s="90"/>
      <c r="L40" s="39"/>
      <c r="M40" s="39"/>
      <c r="N40" s="48"/>
      <c r="O40" s="39"/>
      <c r="P40" s="48"/>
      <c r="Q40" s="39"/>
      <c r="R40" s="103"/>
      <c r="S40" s="95">
        <f t="shared" si="4"/>
        <v>6</v>
      </c>
      <c r="T40" s="96">
        <f t="shared" si="1"/>
        <v>6</v>
      </c>
      <c r="U40" s="96">
        <f>LARGE($T$35:$T$48,ROWS(T$35:T40))</f>
        <v>13</v>
      </c>
      <c r="V40" s="96">
        <f t="shared" si="5"/>
        <v>35</v>
      </c>
      <c r="W40" s="224">
        <f>IF($W$35=0,0,IF($K$13=2,0,$G$10*4%))</f>
        <v>0</v>
      </c>
      <c r="X40" s="313">
        <f>IF(W40=0,"",CONCATENATE("Add: Prem @ 4% on Value of CNG/LPG Kit"))</f>
      </c>
      <c r="Y40" s="298" t="s">
        <v>230</v>
      </c>
      <c r="Z40" s="224">
        <f>IF($Z$35=0,0,IF($K$13=2,0,$G$10*4%))</f>
        <v>0</v>
      </c>
      <c r="AA40" s="224">
        <f>IF($AA$35=0,0,IF($K$13=2,0,$G$10*4%))</f>
        <v>0</v>
      </c>
      <c r="AB40" s="224"/>
    </row>
    <row r="41" spans="1:28" s="43" customFormat="1" ht="20.25" customHeight="1">
      <c r="A41" s="75"/>
      <c r="B41" s="83"/>
      <c r="C41" s="84"/>
      <c r="D41" s="657">
        <f t="shared" si="2"/>
      </c>
      <c r="E41" s="657"/>
      <c r="F41" s="657"/>
      <c r="G41" s="657"/>
      <c r="H41" s="93">
        <f t="shared" si="0"/>
      </c>
      <c r="I41" s="94">
        <f t="shared" si="3"/>
      </c>
      <c r="J41" s="84"/>
      <c r="K41" s="90"/>
      <c r="L41" s="39"/>
      <c r="M41" s="39"/>
      <c r="N41" s="48"/>
      <c r="O41" s="39"/>
      <c r="P41" s="48"/>
      <c r="Q41" s="39"/>
      <c r="R41" s="103"/>
      <c r="S41" s="95">
        <f t="shared" si="4"/>
        <v>7</v>
      </c>
      <c r="T41" s="96">
        <f t="shared" si="1"/>
        <v>34</v>
      </c>
      <c r="U41" s="96">
        <f>LARGE($T$35:$T$48,ROWS(T$35:T41))</f>
        <v>12</v>
      </c>
      <c r="V41" s="96">
        <f t="shared" si="5"/>
        <v>34</v>
      </c>
      <c r="W41" s="224">
        <f>ROUND(IF($W$35=0,0,IF($K$15=1,(($D$10+$F$10+(IF($K$16=0,0,$E$13)))*0.5%))),2)</f>
        <v>4545.5</v>
      </c>
      <c r="X41" s="313" t="str">
        <f>IF(W41=0,"",CONCATENATE("Add: Over Turning Cover (IMT-47)"))</f>
        <v>Add: Over Turning Cover (IMT-47)</v>
      </c>
      <c r="Y41" s="298" t="s">
        <v>242</v>
      </c>
      <c r="Z41" s="224">
        <f>ROUND(IF($Z$35=0,0,IF($K$15=1,(($D$10+$F$10+(IF($K$16=0,0,$E$13)))*0.5%))),2)</f>
        <v>4545.5</v>
      </c>
      <c r="AA41" s="224">
        <f>ROUND(IF($AA$35=0,0,IF($K$15=1,(($D$10+$F$10+(IF($K$16=0,0,$E$13)))*0.5%))),2)</f>
        <v>4545.5</v>
      </c>
      <c r="AB41" s="224"/>
    </row>
    <row r="42" spans="1:28" s="43" customFormat="1" ht="20.25" customHeight="1">
      <c r="A42" s="75"/>
      <c r="B42" s="83"/>
      <c r="C42" s="84"/>
      <c r="D42" s="657">
        <f t="shared" si="2"/>
      </c>
      <c r="E42" s="657"/>
      <c r="F42" s="657"/>
      <c r="G42" s="657"/>
      <c r="H42" s="93">
        <f t="shared" si="0"/>
      </c>
      <c r="I42" s="94">
        <f t="shared" si="3"/>
      </c>
      <c r="J42" s="84"/>
      <c r="K42" s="90"/>
      <c r="L42" s="39"/>
      <c r="M42" s="39"/>
      <c r="N42" s="48"/>
      <c r="O42" s="39"/>
      <c r="P42" s="48"/>
      <c r="Q42" s="39"/>
      <c r="R42" s="103"/>
      <c r="S42" s="95">
        <f t="shared" si="4"/>
        <v>8</v>
      </c>
      <c r="T42" s="96">
        <f t="shared" si="1"/>
        <v>33</v>
      </c>
      <c r="U42" s="96">
        <f>LARGE($T$35:$T$48,ROWS(T$35:T42))</f>
        <v>11</v>
      </c>
      <c r="V42" s="96">
        <f t="shared" si="5"/>
        <v>33</v>
      </c>
      <c r="W42" s="224">
        <f>ROUND(IF($W$35=0,0,IF($W$7=1,(SUM($W$35:$W$41)*0.15),0)),2)</f>
        <v>2304.57</v>
      </c>
      <c r="X42" s="313" t="str">
        <f>IF(W42=0,"",CONCATENATE("Add: IMT 23 (Coverage for IMT 21 Exclusions)"))</f>
        <v>Add: IMT 23 (Coverage for IMT 21 Exclusions)</v>
      </c>
      <c r="Y42" s="298" t="s">
        <v>243</v>
      </c>
      <c r="Z42" s="224">
        <f>ROUND(IF($Z$35=0,0,IF($W$7=1,(SUM($Z$35:$Z$41)*0.15),0)),2)</f>
        <v>2304.57</v>
      </c>
      <c r="AA42" s="224">
        <v>0</v>
      </c>
      <c r="AB42" s="224"/>
    </row>
    <row r="43" spans="1:28" s="43" customFormat="1" ht="20.25" customHeight="1">
      <c r="A43" s="75"/>
      <c r="B43" s="83"/>
      <c r="C43" s="84"/>
      <c r="D43" s="657">
        <f t="shared" si="2"/>
      </c>
      <c r="E43" s="657"/>
      <c r="F43" s="657"/>
      <c r="G43" s="657"/>
      <c r="H43" s="93">
        <f t="shared" si="0"/>
      </c>
      <c r="I43" s="94">
        <f t="shared" si="3"/>
      </c>
      <c r="J43" s="84"/>
      <c r="K43" s="90"/>
      <c r="L43" s="39"/>
      <c r="M43" s="110"/>
      <c r="N43" s="41"/>
      <c r="O43" s="110"/>
      <c r="P43" s="41"/>
      <c r="Q43" s="110"/>
      <c r="R43" s="103"/>
      <c r="S43" s="95">
        <f t="shared" si="4"/>
        <v>9</v>
      </c>
      <c r="T43" s="96">
        <f t="shared" si="1"/>
        <v>32</v>
      </c>
      <c r="U43" s="96">
        <f>LARGE($T$35:$T$48,ROWS(T$35:T43))</f>
        <v>10</v>
      </c>
      <c r="V43" s="96">
        <f t="shared" si="5"/>
        <v>32</v>
      </c>
      <c r="W43" s="224">
        <f>-(ROUND((SUM($W$35:$W$38,$W$40:$W$42))*$I$13%,0))</f>
        <v>-16553</v>
      </c>
      <c r="X43" s="313" t="str">
        <f>IF(W43=0,"",(CONCATENATE("Less: U/w (De-Tariff) Discount @ ",I13,"%")))</f>
        <v>Less: U/w (De-Tariff) Discount @ 93.69%</v>
      </c>
      <c r="Y43" s="298" t="s">
        <v>244</v>
      </c>
      <c r="Z43" s="224">
        <f>-(ROUND((SUM($Z$35:$Z$38,$Z$40:$Z$42))*$I$13%,0))</f>
        <v>-16553</v>
      </c>
      <c r="AA43" s="224">
        <f>-(ROUND((SUM($AA$35:$AA$38,$AA$40:$AA$42))*$I$13%,0))</f>
        <v>-14394</v>
      </c>
      <c r="AB43" s="224"/>
    </row>
    <row r="44" spans="1:28" s="43" customFormat="1" ht="20.25" customHeight="1">
      <c r="A44" s="75"/>
      <c r="B44" s="83"/>
      <c r="C44" s="84"/>
      <c r="D44" s="657">
        <f t="shared" si="2"/>
      </c>
      <c r="E44" s="657"/>
      <c r="F44" s="657"/>
      <c r="G44" s="657"/>
      <c r="H44" s="93">
        <f t="shared" si="0"/>
      </c>
      <c r="I44" s="94">
        <f t="shared" si="3"/>
      </c>
      <c r="J44" s="84"/>
      <c r="K44" s="90"/>
      <c r="L44" s="39"/>
      <c r="M44" s="110"/>
      <c r="N44" s="41"/>
      <c r="O44" s="110"/>
      <c r="P44" s="41"/>
      <c r="Q44" s="110"/>
      <c r="R44" s="103"/>
      <c r="S44" s="95">
        <f t="shared" si="4"/>
        <v>10</v>
      </c>
      <c r="T44" s="96">
        <f t="shared" si="1"/>
        <v>10</v>
      </c>
      <c r="U44" s="96">
        <f>LARGE($T$35:$T$48,ROWS(T$35:T44))</f>
        <v>6</v>
      </c>
      <c r="V44" s="96">
        <f t="shared" si="5"/>
        <v>31</v>
      </c>
      <c r="W44" s="224">
        <f>ROUND(IF($W$35=0,0,IF($K$14=1,($D$10+$F$10+IF($K$16=0,0,$E$13))*$Z$7%,0)),0)</f>
        <v>0</v>
      </c>
      <c r="X44" s="99">
        <f>IF(W44=0,"",(CONCATENATE("Add: RTI Prem (Return Invoice Price) @ ",Z7,"%")))</f>
      </c>
      <c r="Y44" s="298" t="s">
        <v>97</v>
      </c>
      <c r="Z44" s="224">
        <f>ROUND(IF($Z$35=0,0,($D$10+$F$10+IF($K$16=0,0,$E$13))*$Z$7%),0)</f>
        <v>6364</v>
      </c>
      <c r="AA44" s="224"/>
      <c r="AB44" s="224"/>
    </row>
    <row r="45" spans="1:28" s="43" customFormat="1" ht="20.25" customHeight="1">
      <c r="A45" s="75"/>
      <c r="B45" s="83"/>
      <c r="C45" s="84"/>
      <c r="D45" s="657">
        <f>IF(U45&lt;24,"",(VLOOKUP(U45,$V$35:$X$48,3,0)))</f>
      </c>
      <c r="E45" s="657"/>
      <c r="F45" s="657"/>
      <c r="G45" s="657"/>
      <c r="H45" s="93"/>
      <c r="I45" s="94">
        <f t="shared" si="3"/>
      </c>
      <c r="J45" s="84"/>
      <c r="K45" s="90"/>
      <c r="L45" s="39"/>
      <c r="M45" s="110"/>
      <c r="N45" s="41"/>
      <c r="O45" s="110"/>
      <c r="P45" s="41"/>
      <c r="Q45" s="110"/>
      <c r="R45" s="103"/>
      <c r="S45" s="95">
        <f t="shared" si="4"/>
        <v>11</v>
      </c>
      <c r="T45" s="96">
        <f t="shared" si="1"/>
        <v>11</v>
      </c>
      <c r="U45" s="96">
        <f>LARGE($T$35:$T$48,ROWS(T$35:T45))</f>
        <v>5</v>
      </c>
      <c r="V45" s="96">
        <f t="shared" si="5"/>
        <v>30</v>
      </c>
      <c r="W45" s="209">
        <f>-ROUND($W$44*$Z$11%,0)</f>
        <v>0</v>
      </c>
      <c r="X45" s="99">
        <f>IF(W45=0,"",(CONCATENATE("Less: Discount on Add-on-Covers (ACD) @ ",Z11,"%")))</f>
      </c>
      <c r="Y45" s="298" t="s">
        <v>94</v>
      </c>
      <c r="Z45" s="209">
        <f>-ROUND($Z$44*$Z$11%,0)</f>
        <v>-3437</v>
      </c>
      <c r="AA45" s="209"/>
      <c r="AB45" s="209"/>
    </row>
    <row r="46" spans="1:28" s="43" customFormat="1" ht="20.25" customHeight="1">
      <c r="A46" s="75"/>
      <c r="B46" s="83"/>
      <c r="C46" s="84"/>
      <c r="D46" s="657">
        <f t="shared" si="2"/>
      </c>
      <c r="E46" s="657"/>
      <c r="F46" s="657"/>
      <c r="G46" s="657"/>
      <c r="H46" s="93">
        <f t="shared" si="0"/>
      </c>
      <c r="I46" s="94">
        <f t="shared" si="3"/>
      </c>
      <c r="J46" s="84"/>
      <c r="K46" s="90"/>
      <c r="L46" s="39"/>
      <c r="M46" s="110"/>
      <c r="N46" s="41"/>
      <c r="O46" s="110"/>
      <c r="P46" s="41"/>
      <c r="Q46" s="110"/>
      <c r="R46" s="103"/>
      <c r="S46" s="95">
        <f t="shared" si="4"/>
        <v>12</v>
      </c>
      <c r="T46" s="96">
        <f t="shared" si="1"/>
        <v>12</v>
      </c>
      <c r="U46" s="96">
        <f>LARGE($T$35:$T$48,ROWS(T$35:T46))</f>
        <v>4</v>
      </c>
      <c r="V46" s="96">
        <f t="shared" si="5"/>
        <v>29</v>
      </c>
      <c r="W46" s="224">
        <f>-MIN(ROUND(IF($V$7=1,SUM($W$35:$W$38,$W$40,$W$41,$W$43)*2.5%,0),2),500)</f>
        <v>0</v>
      </c>
      <c r="X46" s="313">
        <f>IF(W46=0,"",(CONCATENATE("Less: Discount for Anti Theft Devices")))</f>
      </c>
      <c r="Y46" s="298" t="s">
        <v>245</v>
      </c>
      <c r="Z46" s="224">
        <f>-MIN(ROUND(IF($V$7=1,SUM($Z$35:$Z$38,$Z$40,$Z$41,$Z$43)*2.5%,0),2),500)</f>
        <v>0</v>
      </c>
      <c r="AA46" s="224">
        <f>-MIN(ROUND(IF($V$7=1,SUM($AA$35:$AA$38,$AA$40,$AA$41,$AA$43)*2.5%,0),2),500)</f>
        <v>0</v>
      </c>
      <c r="AB46" s="224"/>
    </row>
    <row r="47" spans="1:28" s="43" customFormat="1" ht="20.25" customHeight="1">
      <c r="A47" s="75"/>
      <c r="B47" s="83"/>
      <c r="C47" s="84"/>
      <c r="D47" s="657">
        <f>IF(U47&lt;24,"",(VLOOKUP(U47,$V$35:$X$48,3,0)))</f>
      </c>
      <c r="E47" s="657"/>
      <c r="F47" s="657"/>
      <c r="G47" s="657"/>
      <c r="H47" s="93">
        <f t="shared" si="0"/>
      </c>
      <c r="I47" s="94">
        <f t="shared" si="3"/>
      </c>
      <c r="J47" s="84"/>
      <c r="K47" s="90"/>
      <c r="L47" s="39"/>
      <c r="M47" s="110"/>
      <c r="N47" s="41"/>
      <c r="O47" s="110"/>
      <c r="P47" s="41"/>
      <c r="Q47" s="110"/>
      <c r="R47" s="103"/>
      <c r="S47" s="95">
        <f t="shared" si="4"/>
        <v>13</v>
      </c>
      <c r="T47" s="96">
        <f t="shared" si="1"/>
        <v>13</v>
      </c>
      <c r="U47" s="96">
        <f>LARGE($T$35:$T$48,ROWS(T$35:T47))</f>
        <v>3</v>
      </c>
      <c r="V47" s="96">
        <f t="shared" si="5"/>
        <v>28</v>
      </c>
      <c r="W47" s="224">
        <f>-ROUND(IF($K$17=1,SUM($W$35:$W$38,$W$40,$W$41,$W$43)*33.33%,0),2)</f>
        <v>0</v>
      </c>
      <c r="X47" s="313">
        <f>IF(W47=0,"",(CONCATENATE("Less: Limited to Own Premises Disc @ 33.33%")))</f>
      </c>
      <c r="Y47" s="298" t="s">
        <v>182</v>
      </c>
      <c r="Z47" s="224">
        <f>-ROUND(IF($K$17=1,SUM($Z$35:$Z$38,$Z$40,$Z$41,$Z$43)*33.33%,0),2)</f>
        <v>0</v>
      </c>
      <c r="AA47" s="224">
        <f>-ROUND(IF($K$17=1,SUM($AA$35:$AA$38,$AA$40,$AA$41,$AA$43)*33.33%,0),2)</f>
        <v>0</v>
      </c>
      <c r="AB47" s="224"/>
    </row>
    <row r="48" spans="1:28" s="43" customFormat="1" ht="20.25" customHeight="1">
      <c r="A48" s="75"/>
      <c r="B48" s="83"/>
      <c r="C48" s="84"/>
      <c r="D48" s="657">
        <f>IF(U48&lt;24,"",(VLOOKUP(U48,$V$35:$X$48,3,0)))</f>
      </c>
      <c r="E48" s="657"/>
      <c r="F48" s="657"/>
      <c r="G48" s="657"/>
      <c r="H48" s="93">
        <f t="shared" si="0"/>
      </c>
      <c r="I48" s="94">
        <f t="shared" si="3"/>
      </c>
      <c r="J48" s="84"/>
      <c r="K48" s="90"/>
      <c r="L48" s="39"/>
      <c r="M48" s="110"/>
      <c r="N48" s="110"/>
      <c r="O48" s="110"/>
      <c r="P48" s="41"/>
      <c r="Q48" s="110"/>
      <c r="R48" s="103"/>
      <c r="S48" s="95">
        <f t="shared" si="4"/>
        <v>14</v>
      </c>
      <c r="T48" s="96">
        <f t="shared" si="1"/>
        <v>27</v>
      </c>
      <c r="U48" s="96">
        <f>LARGE($T$35:$T$48,ROWS(T$35:T48))</f>
        <v>2</v>
      </c>
      <c r="V48" s="96">
        <f t="shared" si="5"/>
        <v>27</v>
      </c>
      <c r="W48" s="224">
        <f>-ROUND(SUM($W$35:$W$43,$W$45:$W$47)*$G$13%,2)</f>
        <v>-223.07</v>
      </c>
      <c r="X48" s="313" t="str">
        <f>IF(W48=0,"",(CONCATENATE("Less: NCB @ ",G13,"% (Subject to No Claim)")))</f>
        <v>Less: NCB @ 20% (Subject to No Claim)</v>
      </c>
      <c r="Y48" s="299" t="s">
        <v>225</v>
      </c>
      <c r="Z48" s="224">
        <f>-ROUND(SUM($Z$35:$Z$43,$Z$45:$Z$47)*$G$13%,2)</f>
        <v>464.33</v>
      </c>
      <c r="AA48" s="224">
        <f>-ROUND(SUM($AA$35:$AA$43,$AA$45:$AA$47)*$G$13%,2)</f>
        <v>-193.96</v>
      </c>
      <c r="AB48" s="224"/>
    </row>
    <row r="49" spans="1:28" s="43" customFormat="1" ht="20.25" customHeight="1">
      <c r="A49" s="75"/>
      <c r="B49" s="83"/>
      <c r="C49" s="84"/>
      <c r="D49" s="658" t="str">
        <f>IF(I49=100,"Net Own Damage Premium (Min Prem)","Net Own Damage Premium")</f>
        <v>Net Own Damage Premium</v>
      </c>
      <c r="E49" s="658"/>
      <c r="F49" s="658"/>
      <c r="G49" s="316"/>
      <c r="H49" s="101" t="s">
        <v>106</v>
      </c>
      <c r="I49" s="102">
        <f>W49</f>
        <v>1000</v>
      </c>
      <c r="J49" s="84"/>
      <c r="K49" s="90"/>
      <c r="L49" s="39"/>
      <c r="M49" s="110"/>
      <c r="N49" s="103">
        <f>ROUND(I49*15%,0)</f>
        <v>150</v>
      </c>
      <c r="O49" s="110"/>
      <c r="P49" s="41"/>
      <c r="Q49" s="110"/>
      <c r="R49" s="103"/>
      <c r="S49" s="95"/>
      <c r="T49" s="96"/>
      <c r="U49" s="96"/>
      <c r="V49" s="96"/>
      <c r="W49" s="209">
        <f>ROUND(IF($W$35=0,0,IF($D$10=0,0,(MAX((SUM($W$35:$W$48)),1000)))),0)</f>
        <v>1000</v>
      </c>
      <c r="X49" s="39"/>
      <c r="Y49" s="299" t="s">
        <v>226</v>
      </c>
      <c r="Z49" s="209">
        <f>ROUND(IF($Z$35=0,0,IF($D$10=0,0,(MAX((SUM($Z$35:$Z$48)),1000)))),0)</f>
        <v>4507</v>
      </c>
      <c r="AA49" s="209">
        <f>ROUND(IF($AA$35=0,0,IF($D$10=0,0,(MAX((SUM($AA$35:$AA$48)),1000)))),0)</f>
        <v>1000</v>
      </c>
      <c r="AB49" s="209"/>
    </row>
    <row r="50" spans="1:28" s="43" customFormat="1" ht="20.25" customHeight="1">
      <c r="A50" s="75"/>
      <c r="B50" s="83"/>
      <c r="C50" s="84"/>
      <c r="D50" s="657" t="str">
        <f aca="true" t="shared" si="6" ref="D50:D55">IF(U50&lt;24,"",(VLOOKUP(U50,$V$50:$X$55,3,0)))</f>
        <v>Basic Third Party Premium</v>
      </c>
      <c r="E50" s="657"/>
      <c r="F50" s="657"/>
      <c r="G50" s="657"/>
      <c r="H50" s="93" t="str">
        <f aca="true" t="shared" si="7" ref="H50:H55">IF(D50="","",":")</f>
        <v>:</v>
      </c>
      <c r="I50" s="94">
        <f aca="true" t="shared" si="8" ref="I50:I55">IF(U50&lt;24,"",VLOOKUP(U50,$V$50:$X$55,2,0))</f>
        <v>6115</v>
      </c>
      <c r="J50" s="84"/>
      <c r="K50" s="90"/>
      <c r="L50" s="39"/>
      <c r="M50" s="110"/>
      <c r="N50" s="103">
        <f>ROUND(I56*2.5%,0)</f>
        <v>162</v>
      </c>
      <c r="O50" s="110"/>
      <c r="P50" s="41"/>
      <c r="Q50" s="110"/>
      <c r="R50" s="103"/>
      <c r="S50" s="95">
        <v>1</v>
      </c>
      <c r="T50" s="96">
        <f aca="true" t="shared" si="9" ref="T50:T55">IF(W50=0,S50,V50)</f>
        <v>40</v>
      </c>
      <c r="U50" s="96">
        <f>LARGE($T$50:$T$55,ROWS(T$50:T50))</f>
        <v>40</v>
      </c>
      <c r="V50" s="96">
        <v>40</v>
      </c>
      <c r="W50" s="224">
        <f>$W$9</f>
        <v>6115</v>
      </c>
      <c r="X50" s="89" t="s">
        <v>116</v>
      </c>
      <c r="Y50" s="299" t="s">
        <v>142</v>
      </c>
      <c r="Z50" s="224">
        <f>$W$9</f>
        <v>6115</v>
      </c>
      <c r="AA50" s="224">
        <f>$W$9</f>
        <v>6115</v>
      </c>
      <c r="AB50" s="224">
        <f>$W$9</f>
        <v>6115</v>
      </c>
    </row>
    <row r="51" spans="1:28" s="43" customFormat="1" ht="20.25" customHeight="1">
      <c r="A51" s="75"/>
      <c r="B51" s="83"/>
      <c r="C51" s="84"/>
      <c r="D51" s="657" t="str">
        <f t="shared" si="6"/>
        <v>Owner Driver Compulsory PA @ 15,00,000</v>
      </c>
      <c r="E51" s="657"/>
      <c r="F51" s="657"/>
      <c r="G51" s="657"/>
      <c r="H51" s="93" t="str">
        <f t="shared" si="7"/>
        <v>:</v>
      </c>
      <c r="I51" s="94">
        <f t="shared" si="8"/>
        <v>320</v>
      </c>
      <c r="J51" s="84"/>
      <c r="K51" s="90"/>
      <c r="L51" s="39"/>
      <c r="M51" s="110"/>
      <c r="N51" s="103">
        <f>IF(F7&gt;3,(N49+N50),N49)</f>
        <v>150</v>
      </c>
      <c r="O51" s="110"/>
      <c r="P51" s="41"/>
      <c r="Q51" s="110"/>
      <c r="R51" s="103"/>
      <c r="S51" s="95">
        <f>S50+1</f>
        <v>2</v>
      </c>
      <c r="T51" s="96">
        <f t="shared" si="9"/>
        <v>2</v>
      </c>
      <c r="U51" s="96">
        <f>LARGE($T$50:$T$55,ROWS(T$50:T51))</f>
        <v>38</v>
      </c>
      <c r="V51" s="96">
        <f>V50-1</f>
        <v>39</v>
      </c>
      <c r="W51" s="224">
        <f>$X$9</f>
        <v>0</v>
      </c>
      <c r="X51" s="89">
        <f>IF(W51=0,"",CONCATENATE("Add: Legal Liability to (",(K16),") Tralor(s)"))</f>
      </c>
      <c r="Y51" s="299" t="s">
        <v>247</v>
      </c>
      <c r="Z51" s="224">
        <f>$X$9</f>
        <v>0</v>
      </c>
      <c r="AA51" s="224">
        <f>$X$9</f>
        <v>0</v>
      </c>
      <c r="AB51" s="224">
        <f>$X$9</f>
        <v>0</v>
      </c>
    </row>
    <row r="52" spans="1:28" s="43" customFormat="1" ht="20.25" customHeight="1">
      <c r="A52" s="75"/>
      <c r="B52" s="83"/>
      <c r="C52" s="84"/>
      <c r="D52" s="657" t="str">
        <f t="shared" si="6"/>
        <v>Add: Legal Liability to (1) Employees</v>
      </c>
      <c r="E52" s="657"/>
      <c r="F52" s="657"/>
      <c r="G52" s="657"/>
      <c r="H52" s="93" t="str">
        <f t="shared" si="7"/>
        <v>:</v>
      </c>
      <c r="I52" s="94">
        <f t="shared" si="8"/>
        <v>50</v>
      </c>
      <c r="J52" s="84"/>
      <c r="K52" s="90"/>
      <c r="L52" s="39"/>
      <c r="M52" s="110"/>
      <c r="N52" s="110"/>
      <c r="O52" s="110"/>
      <c r="P52" s="41"/>
      <c r="Q52" s="110"/>
      <c r="R52" s="103"/>
      <c r="S52" s="95">
        <f>S51+1</f>
        <v>3</v>
      </c>
      <c r="T52" s="96">
        <f t="shared" si="9"/>
        <v>38</v>
      </c>
      <c r="U52" s="96">
        <f>LARGE($T$50:$T$55,ROWS(T$50:T52))</f>
        <v>37</v>
      </c>
      <c r="V52" s="96">
        <f>V51-1</f>
        <v>38</v>
      </c>
      <c r="W52" s="224">
        <f>IF($T$7=1,320,0)</f>
        <v>320</v>
      </c>
      <c r="X52" s="89" t="str">
        <f>IF(W52=0,"","Owner Driver Compulsory PA @ 15,00,000")</f>
        <v>Owner Driver Compulsory PA @ 15,00,000</v>
      </c>
      <c r="Y52" s="299" t="s">
        <v>246</v>
      </c>
      <c r="Z52" s="224">
        <f>IF($T$7=1,320,0)</f>
        <v>320</v>
      </c>
      <c r="AA52" s="224">
        <f>IF($T$7=1,320,0)</f>
        <v>320</v>
      </c>
      <c r="AB52" s="224">
        <f>IF($T$7=1,320,0)</f>
        <v>320</v>
      </c>
    </row>
    <row r="53" spans="1:28" s="43" customFormat="1" ht="20.25" customHeight="1">
      <c r="A53" s="75"/>
      <c r="B53" s="83"/>
      <c r="C53" s="84"/>
      <c r="D53" s="657">
        <f t="shared" si="6"/>
      </c>
      <c r="E53" s="657"/>
      <c r="F53" s="657"/>
      <c r="G53" s="657"/>
      <c r="H53" s="93">
        <f t="shared" si="7"/>
      </c>
      <c r="I53" s="94">
        <f t="shared" si="8"/>
      </c>
      <c r="J53" s="84"/>
      <c r="K53" s="90"/>
      <c r="L53" s="39"/>
      <c r="M53" s="110"/>
      <c r="N53" s="41"/>
      <c r="O53" s="110"/>
      <c r="P53" s="41"/>
      <c r="Q53" s="110"/>
      <c r="R53" s="103"/>
      <c r="S53" s="95">
        <f>S52+1</f>
        <v>4</v>
      </c>
      <c r="T53" s="96">
        <f t="shared" si="9"/>
        <v>37</v>
      </c>
      <c r="U53" s="96">
        <f>LARGE($T$50:$T$55,ROWS(T$50:T53))</f>
        <v>6</v>
      </c>
      <c r="V53" s="96">
        <f>V52-1</f>
        <v>37</v>
      </c>
      <c r="W53" s="224">
        <f>$K$8*50</f>
        <v>50</v>
      </c>
      <c r="X53" s="89" t="str">
        <f>IF(W53=0,"",CONCATENATE("Add: Legal Liability to (",(K8),") Employees"))</f>
        <v>Add: Legal Liability to (1) Employees</v>
      </c>
      <c r="Y53" s="299" t="s">
        <v>248</v>
      </c>
      <c r="Z53" s="224">
        <f>$K$8*50</f>
        <v>50</v>
      </c>
      <c r="AA53" s="224">
        <f>$K$8*50</f>
        <v>50</v>
      </c>
      <c r="AB53" s="224">
        <f>$K$8*50</f>
        <v>50</v>
      </c>
    </row>
    <row r="54" spans="1:28" s="43" customFormat="1" ht="20.25" customHeight="1">
      <c r="A54" s="75"/>
      <c r="B54" s="83"/>
      <c r="C54" s="84"/>
      <c r="D54" s="657">
        <f t="shared" si="6"/>
      </c>
      <c r="E54" s="657"/>
      <c r="F54" s="657"/>
      <c r="G54" s="657"/>
      <c r="H54" s="93">
        <f t="shared" si="7"/>
      </c>
      <c r="I54" s="94">
        <f t="shared" si="8"/>
      </c>
      <c r="J54" s="84"/>
      <c r="K54" s="90"/>
      <c r="L54" s="39"/>
      <c r="M54" s="110"/>
      <c r="N54" s="41"/>
      <c r="O54" s="110"/>
      <c r="P54" s="41"/>
      <c r="Q54" s="110"/>
      <c r="R54" s="103"/>
      <c r="S54" s="95">
        <f>S53+1</f>
        <v>5</v>
      </c>
      <c r="T54" s="96">
        <f t="shared" si="9"/>
        <v>5</v>
      </c>
      <c r="U54" s="96">
        <f>LARGE($T$50:$T$55,ROWS(T$50:T54))</f>
        <v>5</v>
      </c>
      <c r="V54" s="96">
        <f>V53-1</f>
        <v>36</v>
      </c>
      <c r="W54" s="224">
        <f>IF($K$13=1,60,0)</f>
        <v>0</v>
      </c>
      <c r="X54" s="89">
        <f>IF(W54=0,"","Add: Legal Liability to CNG / LPG Kit")</f>
      </c>
      <c r="Y54" s="298" t="s">
        <v>249</v>
      </c>
      <c r="Z54" s="224">
        <f>IF($K$13=1,60,0)</f>
        <v>0</v>
      </c>
      <c r="AA54" s="224">
        <f>IF($K$13=1,60,0)</f>
        <v>0</v>
      </c>
      <c r="AB54" s="224">
        <f>IF($K$13=1,60,0)</f>
        <v>0</v>
      </c>
    </row>
    <row r="55" spans="1:28" s="43" customFormat="1" ht="20.25" customHeight="1">
      <c r="A55" s="75"/>
      <c r="B55" s="83"/>
      <c r="C55" s="84"/>
      <c r="D55" s="657">
        <f t="shared" si="6"/>
      </c>
      <c r="E55" s="657"/>
      <c r="F55" s="657"/>
      <c r="G55" s="657"/>
      <c r="H55" s="93">
        <f t="shared" si="7"/>
      </c>
      <c r="I55" s="94">
        <f t="shared" si="8"/>
      </c>
      <c r="J55" s="84"/>
      <c r="K55" s="90"/>
      <c r="L55" s="39"/>
      <c r="M55" s="110"/>
      <c r="N55" s="41"/>
      <c r="O55" s="110"/>
      <c r="P55" s="41"/>
      <c r="Q55" s="110"/>
      <c r="R55" s="103"/>
      <c r="S55" s="95">
        <f>S54+1</f>
        <v>6</v>
      </c>
      <c r="T55" s="96">
        <f t="shared" si="9"/>
        <v>6</v>
      </c>
      <c r="U55" s="96">
        <f>LARGE($T$50:$T$55,ROWS(T$50:T55))</f>
        <v>2</v>
      </c>
      <c r="V55" s="96">
        <f>V54-1</f>
        <v>35</v>
      </c>
      <c r="W55" s="224">
        <f>-IF($U$7=1,0,IF($K$6=1,200,200))</f>
        <v>0</v>
      </c>
      <c r="X55" s="89">
        <f>IF(W55=0,"","Less: Prem on Limiting TPPD upto Rs.6000/-")</f>
      </c>
      <c r="Y55" s="298" t="s">
        <v>101</v>
      </c>
      <c r="Z55" s="224">
        <f>-IF($U$7=1,0,IF($K$6=1,200,200))</f>
        <v>0</v>
      </c>
      <c r="AA55" s="224">
        <f>-IF($U$7=1,0,IF($K$6=1,200,200))</f>
        <v>0</v>
      </c>
      <c r="AB55" s="224">
        <f>-IF($U$7=1,0,IF($K$6=1,200,200))</f>
        <v>0</v>
      </c>
    </row>
    <row r="56" spans="1:28" s="43" customFormat="1" ht="20.25" customHeight="1">
      <c r="A56" s="75"/>
      <c r="B56" s="83"/>
      <c r="C56" s="84"/>
      <c r="D56" s="658" t="s">
        <v>379</v>
      </c>
      <c r="E56" s="658"/>
      <c r="F56" s="658"/>
      <c r="G56" s="658"/>
      <c r="H56" s="101" t="s">
        <v>106</v>
      </c>
      <c r="I56" s="102">
        <f>W56</f>
        <v>6485</v>
      </c>
      <c r="J56" s="84"/>
      <c r="K56" s="90"/>
      <c r="L56" s="39"/>
      <c r="M56" s="110"/>
      <c r="N56" s="41"/>
      <c r="O56" s="110"/>
      <c r="P56" s="41"/>
      <c r="Q56" s="110"/>
      <c r="R56" s="103"/>
      <c r="S56" s="95"/>
      <c r="T56" s="96"/>
      <c r="U56" s="96"/>
      <c r="V56" s="96"/>
      <c r="W56" s="225">
        <f>ROUND(SUM($W$50:$W$55),0)</f>
        <v>6485</v>
      </c>
      <c r="X56" s="274"/>
      <c r="Y56" s="354" t="s">
        <v>232</v>
      </c>
      <c r="Z56" s="225">
        <f>ROUND(SUM($Z$50:$Z$55),0)</f>
        <v>6485</v>
      </c>
      <c r="AA56" s="225">
        <f>ROUND(SUM($AA$50:$AA$55),0)</f>
        <v>6485</v>
      </c>
      <c r="AB56" s="225">
        <f>ROUND(SUM($AB$50:$AB$55),0)</f>
        <v>6485</v>
      </c>
    </row>
    <row r="57" spans="1:28" s="43" customFormat="1" ht="20.25" customHeight="1">
      <c r="A57" s="75"/>
      <c r="B57" s="83"/>
      <c r="C57" s="84"/>
      <c r="D57" s="662" t="s">
        <v>380</v>
      </c>
      <c r="E57" s="662"/>
      <c r="F57" s="662"/>
      <c r="G57" s="662"/>
      <c r="H57" s="93" t="s">
        <v>106</v>
      </c>
      <c r="I57" s="106">
        <f>SUM(I56,I49)</f>
        <v>7485</v>
      </c>
      <c r="J57" s="84"/>
      <c r="K57" s="90"/>
      <c r="L57" s="39"/>
      <c r="M57" s="110"/>
      <c r="N57" s="41"/>
      <c r="O57" s="110"/>
      <c r="P57" s="41"/>
      <c r="Q57" s="110"/>
      <c r="R57" s="39"/>
      <c r="S57" s="39"/>
      <c r="T57" s="201"/>
      <c r="U57" s="39"/>
      <c r="V57" s="39"/>
      <c r="W57" s="224">
        <f>SUM($W$56,$W$49)</f>
        <v>7485</v>
      </c>
      <c r="X57" s="274"/>
      <c r="Y57" s="354" t="s">
        <v>233</v>
      </c>
      <c r="Z57" s="224">
        <f>SUM($Z$56,$Z$49)</f>
        <v>10992</v>
      </c>
      <c r="AA57" s="224">
        <f>SUM($AA$56,$AA$49)</f>
        <v>7485</v>
      </c>
      <c r="AB57" s="224">
        <f>SUM($AB$56,$AB$49)</f>
        <v>6485</v>
      </c>
    </row>
    <row r="58" spans="1:28" s="43" customFormat="1" ht="20.25" customHeight="1">
      <c r="A58" s="75"/>
      <c r="B58" s="83"/>
      <c r="C58" s="84"/>
      <c r="D58" s="662" t="str">
        <f>CONCATENATE("Add: GST (Goods and Services Tax) @ ",Sign!$F$15,"%")</f>
        <v>Add: GST (Goods and Services Tax) @ 18%</v>
      </c>
      <c r="E58" s="662"/>
      <c r="F58" s="662"/>
      <c r="G58" s="662"/>
      <c r="H58" s="93" t="s">
        <v>106</v>
      </c>
      <c r="I58" s="106">
        <f>W58</f>
        <v>1348</v>
      </c>
      <c r="J58" s="84"/>
      <c r="K58" s="90"/>
      <c r="L58" s="39"/>
      <c r="M58" s="110"/>
      <c r="N58" s="41"/>
      <c r="O58" s="110"/>
      <c r="P58" s="41"/>
      <c r="Q58" s="110"/>
      <c r="R58" s="39"/>
      <c r="S58" s="39"/>
      <c r="T58" s="201"/>
      <c r="U58" s="39"/>
      <c r="V58" s="39"/>
      <c r="W58" s="224">
        <f>SUM(W62:W64)</f>
        <v>1348</v>
      </c>
      <c r="X58" s="274"/>
      <c r="Y58" s="354" t="s">
        <v>234</v>
      </c>
      <c r="Z58" s="224">
        <f>SUM(Z62:Z64)</f>
        <v>1978</v>
      </c>
      <c r="AA58" s="224">
        <f>SUM(AA62:AA64)</f>
        <v>1348</v>
      </c>
      <c r="AB58" s="224">
        <f>SUM(AB62:AB64)</f>
        <v>1168</v>
      </c>
    </row>
    <row r="59" spans="1:28" s="43" customFormat="1" ht="20.25" customHeight="1">
      <c r="A59" s="75"/>
      <c r="B59" s="83"/>
      <c r="C59" s="84"/>
      <c r="D59" s="658" t="s">
        <v>378</v>
      </c>
      <c r="E59" s="658"/>
      <c r="F59" s="658"/>
      <c r="G59" s="317"/>
      <c r="H59" s="101" t="s">
        <v>106</v>
      </c>
      <c r="I59" s="102">
        <f>SUM(I57:I58)</f>
        <v>8833</v>
      </c>
      <c r="J59" s="84"/>
      <c r="K59" s="90"/>
      <c r="L59" s="74"/>
      <c r="M59" s="110"/>
      <c r="N59" s="41"/>
      <c r="O59" s="110"/>
      <c r="P59" s="41"/>
      <c r="Q59" s="110"/>
      <c r="R59" s="74"/>
      <c r="S59" s="74"/>
      <c r="T59" s="201"/>
      <c r="U59" s="39"/>
      <c r="V59" s="39"/>
      <c r="W59" s="226">
        <f>SUM(W57:W58)</f>
        <v>8833</v>
      </c>
      <c r="X59" s="274"/>
      <c r="Y59" s="354" t="s">
        <v>235</v>
      </c>
      <c r="Z59" s="226">
        <f>SUM(Z57:Z58)</f>
        <v>12970</v>
      </c>
      <c r="AA59" s="226">
        <f>SUM(AA57:AA58)</f>
        <v>8833</v>
      </c>
      <c r="AB59" s="226">
        <f>SUM(AB57:AB58)</f>
        <v>7653</v>
      </c>
    </row>
    <row r="60" spans="1:28" s="43" customFormat="1" ht="7.5" customHeight="1">
      <c r="A60" s="79"/>
      <c r="B60" s="109"/>
      <c r="C60" s="84"/>
      <c r="D60" s="84"/>
      <c r="E60" s="84"/>
      <c r="F60" s="84"/>
      <c r="G60" s="84"/>
      <c r="H60" s="84"/>
      <c r="I60" s="84"/>
      <c r="J60" s="84"/>
      <c r="K60" s="90"/>
      <c r="L60" s="74"/>
      <c r="M60" s="110"/>
      <c r="N60" s="41"/>
      <c r="O60" s="110"/>
      <c r="P60" s="41"/>
      <c r="Q60" s="110"/>
      <c r="R60" s="74"/>
      <c r="S60" s="74"/>
      <c r="T60" s="201"/>
      <c r="U60" s="39"/>
      <c r="V60" s="39"/>
      <c r="W60" s="351"/>
      <c r="X60" s="274"/>
      <c r="Y60" s="274"/>
      <c r="Z60" s="351"/>
      <c r="AA60" s="351"/>
      <c r="AB60" s="351"/>
    </row>
    <row r="61" spans="1:28" s="43" customFormat="1" ht="3" customHeight="1">
      <c r="A61" s="79"/>
      <c r="B61" s="659"/>
      <c r="C61" s="659"/>
      <c r="D61" s="659"/>
      <c r="E61" s="659"/>
      <c r="F61" s="659"/>
      <c r="G61" s="659"/>
      <c r="H61" s="659"/>
      <c r="I61" s="659"/>
      <c r="J61" s="659"/>
      <c r="K61" s="90"/>
      <c r="L61" s="74"/>
      <c r="M61" s="110"/>
      <c r="N61" s="41"/>
      <c r="O61" s="110"/>
      <c r="P61" s="41"/>
      <c r="Q61" s="110"/>
      <c r="R61" s="74"/>
      <c r="S61" s="74"/>
      <c r="T61" s="201"/>
      <c r="U61" s="39"/>
      <c r="V61" s="39"/>
      <c r="W61" s="351"/>
      <c r="X61" s="274"/>
      <c r="Y61" s="274"/>
      <c r="Z61" s="351"/>
      <c r="AA61" s="351"/>
      <c r="AB61" s="351"/>
    </row>
    <row r="62" spans="1:28" s="43" customFormat="1" ht="15">
      <c r="A62" s="79"/>
      <c r="B62" s="693" t="str">
        <f>Sign!A16</f>
        <v>G. Lingachari, AO (Mktg), DO-VI, 98856 32211, 040 2340 3147, lingachari@orientalinsurance.co.in</v>
      </c>
      <c r="C62" s="693"/>
      <c r="D62" s="693"/>
      <c r="E62" s="693"/>
      <c r="F62" s="693"/>
      <c r="G62" s="693"/>
      <c r="H62" s="693"/>
      <c r="I62" s="693"/>
      <c r="J62" s="663"/>
      <c r="K62" s="90"/>
      <c r="L62" s="74"/>
      <c r="M62" s="110"/>
      <c r="N62" s="41"/>
      <c r="O62" s="110"/>
      <c r="P62" s="41"/>
      <c r="Q62" s="110"/>
      <c r="R62" s="74"/>
      <c r="S62" s="74"/>
      <c r="T62" s="201"/>
      <c r="U62" s="39"/>
      <c r="V62" s="39"/>
      <c r="W62" s="355">
        <f>ROUND(W$57*Sign!$E$12%,0)</f>
        <v>674</v>
      </c>
      <c r="X62" s="274"/>
      <c r="Y62" s="274"/>
      <c r="Z62" s="355">
        <f>ROUND(Z$57*Sign!$E$12%,0)</f>
        <v>989</v>
      </c>
      <c r="AA62" s="355">
        <f>ROUND(AA$57*Sign!$E$12%,0)</f>
        <v>674</v>
      </c>
      <c r="AB62" s="355">
        <f>ROUND(AB$57*Sign!$E$12%,0)</f>
        <v>584</v>
      </c>
    </row>
    <row r="63" spans="1:28" s="43" customFormat="1" ht="3" customHeight="1">
      <c r="A63" s="79"/>
      <c r="B63" s="113"/>
      <c r="C63" s="114"/>
      <c r="D63" s="114"/>
      <c r="E63" s="114"/>
      <c r="F63" s="114"/>
      <c r="G63" s="114"/>
      <c r="H63" s="114"/>
      <c r="I63" s="114"/>
      <c r="J63" s="114"/>
      <c r="K63" s="115"/>
      <c r="L63" s="74"/>
      <c r="M63" s="110"/>
      <c r="N63" s="41"/>
      <c r="O63" s="110"/>
      <c r="P63" s="41"/>
      <c r="Q63" s="110"/>
      <c r="R63" s="74"/>
      <c r="S63" s="74"/>
      <c r="T63" s="74"/>
      <c r="U63" s="74"/>
      <c r="V63" s="39"/>
      <c r="W63" s="351"/>
      <c r="X63" s="274"/>
      <c r="Y63" s="356"/>
      <c r="Z63" s="351"/>
      <c r="AA63" s="351"/>
      <c r="AB63" s="351"/>
    </row>
    <row r="64" spans="1:28" ht="15">
      <c r="A64" s="79"/>
      <c r="B64" s="79"/>
      <c r="C64" s="79"/>
      <c r="D64" s="79"/>
      <c r="E64" s="79"/>
      <c r="F64" s="79"/>
      <c r="G64" s="79"/>
      <c r="H64" s="79"/>
      <c r="I64" s="79"/>
      <c r="J64" s="79"/>
      <c r="K64" s="116"/>
      <c r="L64" s="74"/>
      <c r="M64" s="110"/>
      <c r="N64" s="41"/>
      <c r="O64" s="110"/>
      <c r="P64" s="110"/>
      <c r="Q64" s="110"/>
      <c r="R64" s="74"/>
      <c r="S64" s="74"/>
      <c r="T64" s="74"/>
      <c r="U64" s="74"/>
      <c r="V64" s="201"/>
      <c r="W64" s="355">
        <f>ROUND(W$57*Sign!$E$13%,0)</f>
        <v>674</v>
      </c>
      <c r="X64" s="356"/>
      <c r="Y64" s="356"/>
      <c r="Z64" s="355">
        <f>ROUND(Z$57*Sign!$E$13%,0)</f>
        <v>989</v>
      </c>
      <c r="AA64" s="355">
        <f>ROUND(AA$57*Sign!$E$13%,0)</f>
        <v>674</v>
      </c>
      <c r="AB64" s="355">
        <f>ROUND(AB$57*Sign!$E$13%,0)</f>
        <v>584</v>
      </c>
    </row>
    <row r="65" spans="13:17" ht="15" customHeight="1" hidden="1">
      <c r="M65" s="110"/>
      <c r="N65" s="41"/>
      <c r="O65" s="110"/>
      <c r="P65" s="110"/>
      <c r="Q65" s="110"/>
    </row>
    <row r="66" spans="13:17" ht="15" customHeight="1" hidden="1">
      <c r="M66" s="110"/>
      <c r="N66" s="41"/>
      <c r="O66" s="110"/>
      <c r="P66" s="110"/>
      <c r="Q66" s="110"/>
    </row>
    <row r="67" spans="13:17" ht="15" customHeight="1" hidden="1">
      <c r="M67" s="110"/>
      <c r="N67" s="41"/>
      <c r="O67" s="110"/>
      <c r="P67" s="110"/>
      <c r="Q67" s="110"/>
    </row>
    <row r="68" spans="13:17" ht="15" customHeight="1" hidden="1">
      <c r="M68" s="110"/>
      <c r="N68" s="110"/>
      <c r="O68" s="110"/>
      <c r="P68" s="110"/>
      <c r="Q68" s="110"/>
    </row>
    <row r="69" spans="13:17" ht="15" customHeight="1" hidden="1">
      <c r="M69" s="110"/>
      <c r="N69" s="110"/>
      <c r="O69" s="110"/>
      <c r="P69" s="110"/>
      <c r="Q69" s="110"/>
    </row>
    <row r="70" ht="15" customHeight="1" hidden="1"/>
    <row r="71" ht="15" customHeight="1" hidden="1"/>
    <row r="72" ht="15" customHeight="1" hidden="1"/>
    <row r="73" ht="15" customHeight="1" hidden="1"/>
    <row r="74" ht="15" customHeight="1" hidden="1"/>
    <row r="75" ht="15" customHeight="1" hidden="1"/>
    <row r="76" ht="15" customHeight="1" hidden="1"/>
    <row r="77" ht="15" customHeight="1" hidden="1"/>
    <row r="78" ht="15" customHeight="1" hidden="1"/>
    <row r="79" ht="15" customHeight="1" hidden="1"/>
    <row r="80" ht="15" customHeight="1" hidden="1"/>
    <row r="81" ht="15" customHeight="1" hidden="1"/>
    <row r="82" ht="15" customHeight="1" hidden="1"/>
    <row r="83" ht="15" customHeight="1" hidden="1"/>
  </sheetData>
  <sheetProtection password="CE28" sheet="1" selectLockedCells="1"/>
  <mergeCells count="75">
    <mergeCell ref="B62:J62"/>
    <mergeCell ref="D51:G51"/>
    <mergeCell ref="D52:G52"/>
    <mergeCell ref="D53:G53"/>
    <mergeCell ref="D54:G54"/>
    <mergeCell ref="D55:G55"/>
    <mergeCell ref="D57:G57"/>
    <mergeCell ref="D56:G56"/>
    <mergeCell ref="D47:G47"/>
    <mergeCell ref="D48:G48"/>
    <mergeCell ref="D49:F49"/>
    <mergeCell ref="D50:G50"/>
    <mergeCell ref="D58:G58"/>
    <mergeCell ref="B61:J61"/>
    <mergeCell ref="D59:F59"/>
    <mergeCell ref="D40:G40"/>
    <mergeCell ref="D41:G41"/>
    <mergeCell ref="D42:G42"/>
    <mergeCell ref="D43:G43"/>
    <mergeCell ref="D44:G44"/>
    <mergeCell ref="D46:G46"/>
    <mergeCell ref="D45:G45"/>
    <mergeCell ref="D34:I34"/>
    <mergeCell ref="D35:G35"/>
    <mergeCell ref="D36:G36"/>
    <mergeCell ref="D37:G37"/>
    <mergeCell ref="D38:G38"/>
    <mergeCell ref="D39:G39"/>
    <mergeCell ref="D31:F31"/>
    <mergeCell ref="H31:I31"/>
    <mergeCell ref="D32:F32"/>
    <mergeCell ref="H32:I32"/>
    <mergeCell ref="D33:F33"/>
    <mergeCell ref="H33:I33"/>
    <mergeCell ref="D28:F28"/>
    <mergeCell ref="H28:I28"/>
    <mergeCell ref="D29:F29"/>
    <mergeCell ref="H29:I29"/>
    <mergeCell ref="D30:F30"/>
    <mergeCell ref="H30:I30"/>
    <mergeCell ref="D25:F25"/>
    <mergeCell ref="H25:I25"/>
    <mergeCell ref="D26:F26"/>
    <mergeCell ref="H26:I26"/>
    <mergeCell ref="D27:F27"/>
    <mergeCell ref="H27:I27"/>
    <mergeCell ref="B17:J17"/>
    <mergeCell ref="B19:K19"/>
    <mergeCell ref="B20:K20"/>
    <mergeCell ref="B21:K21"/>
    <mergeCell ref="C22:K22"/>
    <mergeCell ref="D24:F24"/>
    <mergeCell ref="H24:I24"/>
    <mergeCell ref="W7:X7"/>
    <mergeCell ref="G9:H9"/>
    <mergeCell ref="G10:H10"/>
    <mergeCell ref="G12:H12"/>
    <mergeCell ref="G13:H13"/>
    <mergeCell ref="G15:H15"/>
    <mergeCell ref="G7:H7"/>
    <mergeCell ref="K9:L9"/>
    <mergeCell ref="K10:L10"/>
    <mergeCell ref="I2:K2"/>
    <mergeCell ref="D3:I3"/>
    <mergeCell ref="E4:F4"/>
    <mergeCell ref="G4:H4"/>
    <mergeCell ref="G6:H6"/>
    <mergeCell ref="C2:F2"/>
    <mergeCell ref="G2:H2"/>
    <mergeCell ref="N2:P2"/>
    <mergeCell ref="N16:P17"/>
    <mergeCell ref="N12:N14"/>
    <mergeCell ref="P12:P14"/>
    <mergeCell ref="N5:N7"/>
    <mergeCell ref="P5:P7"/>
  </mergeCells>
  <dataValidations count="26">
    <dataValidation allowBlank="1" showErrorMessage="1" sqref="K10"/>
    <dataValidation errorStyle="warning" type="whole" allowBlank="1" promptTitle="Name of the Registered Owner" prompt="&#10;# It is Relevant only, when the following occasions:&#10;&#10;# While output of the quote is printed on paper and to be presented the same to the client as a Premium Quote&#10;&#10;# While capturing relevant details through E-Quote and sending E-mail to Client" sqref="E4:F4">
      <formula1>5000</formula1>
      <formula2>999999999</formula2>
    </dataValidation>
    <dataValidation errorStyle="warning" type="whole" allowBlank="1" promptTitle="Make &amp; Model of the Vehicle" prompt="&#10;# It is Relavant only, when the following occasions:&#10;&#10;# While output of the quote is printed on paper and to be presented the same to the client as a Premium Quote&#10;&#10;# While capturing relavent details through E-Quote and sending E-mail to Client" sqref="G7:H7">
      <formula1>5000</formula1>
      <formula2>999999999</formula2>
    </dataValidation>
    <dataValidation errorStyle="warning" type="whole" allowBlank="1" promptTitle="Age of Vehicle (Veh's 1st Regn)" prompt="&#10;# To be arrived  from First Date of Regn, i.e., from the Date of Delivery of the Vehicle from the Show-Room&#10;&#10;# Hence, mention the correct Veh's Age (as per Veh's Registration Certificate), as the Age is one of the Rating Factors to calculate the OD Prem" sqref="F7">
      <formula1>5000</formula1>
      <formula2>999999999</formula2>
    </dataValidation>
    <dataValidation errorStyle="warning" type="whole" allowBlank="1" promptTitle="Trailor's Value" prompt="&#10;# Option Available to the Insured, if covered under Package Policy only&#10;&#10;# Trailor's Value to be Mentioned&#10;&#10;# Premium depends on the Usage of Trailor viz., Agricultural or Others" sqref="E13">
      <formula1>5000</formula1>
      <formula2>999999999</formula2>
    </dataValidation>
    <dataValidation errorStyle="warning" type="whole" allowBlank="1" promptTitle="CNG/LPG Kit Value" prompt="&#10;# If Liability only Policy is taken for, Coverage for Loss/Damage to Kit is not Available&#10;&#10;# If Package Policy is taken for, Cost of such Kit shall also be covered on paying 4% on such value of Kit as consideration alongwith Legal Liab Premium @ Rs.60/-" sqref="G10:H10">
      <formula1>5000</formula1>
      <formula2>999999999</formula2>
    </dataValidation>
    <dataValidation errorStyle="warning" type="whole" allowBlank="1" promptTitle="Non-Ele/Electronic Accessories" prompt="&#10;# The Equipment shall only be covered, if opted for Package Policy&#10;&#10;# Value of Equipment shall have to be shown separately&#10;&#10;# Premium to be paid on par with Vehicle's OD Rate, on such a value" sqref="F10">
      <formula1>5000</formula1>
      <formula2>999999999</formula2>
    </dataValidation>
    <dataValidation errorStyle="warning" type="whole" allowBlank="1" promptTitle="Ele/Electronic Accessories" prompt="&#10;# The Equipment shall only be covered, if opted for Package Policy&#10;&#10;# Value of Equipment shall have to be shown separately&#10;&#10;# Premium to be paid @ 4%, on such a value, regardless of Age/Zone/Class" sqref="E10">
      <formula1>5000</formula1>
      <formula2>999999999</formula2>
    </dataValidation>
    <dataValidation type="list" allowBlank="1" showErrorMessage="1" promptTitle="Type of Vehicle / Equipment" prompt="&#10;# Choose Correct Type of Vehicle Class or Equipment, from following Sub Class&#10;&#10;# Misc and Other Special Type of Veh&#10;&#10;# Pedastrian/Agricultural Tract &lt; 6 HP&#10;&#10;# Agricultural Trailers&#10;&#10;# Other Trailers, if any" sqref="D7">
      <formula1>"Misc/Other Veh,Agri Tract &lt; 6 HP,Agri Trailers,Other Trailers"</formula1>
    </dataValidation>
    <dataValidation type="whole" allowBlank="1" showErrorMessage="1" promptTitle="Fixing of IDV / Sum Insured:" prompt="&#10;# IDV has to be fixed (Depr from Invoice Price), as per IMT Provision upto 5 Years&#10;&#10;# Sum Ins is to be Arrived at / Agreed for, as per the Mutual Consent, between the Insured / Insurer, for Abv 5 Yrs Age&#10;&#10;# Min SI: 60,000 - Misc &amp; 50,000 - Oth" errorTitle="Sum Insured" error="Please Enter the Data Correctly, to validate the Field" sqref="D10">
      <formula1>50000</formula1>
      <formula2>999999999</formula2>
    </dataValidation>
    <dataValidation type="list" operator="equal" showErrorMessage="1" promptTitle="Coverage Option" prompt="&#10;# Package Policy gives Own Damage Benefit to Vehicle and Third Parties&#10;&#10;# Liability Only Policy Benefits only for the Third Parties" sqref="I4">
      <formula1>"Liability Only,Package Policy"</formula1>
    </dataValidation>
    <dataValidation type="list" operator="equal" showErrorMessage="1" promptTitle="Over Turning Coverage - IMT 47" prompt="&#10;# Please specify, whether over turning cover is required or not?&#10;&#10;# If covered, Damage to Equipment due to Overturning is payble&#10;&#10;# If opted for this Cover, Premium to be loaded by 0.50%, on the Value of the Vehicle, along with Accessories" sqref="D13">
      <formula1>"Yes,No"</formula1>
    </dataValidation>
    <dataValidation type="list" operator="equal" showErrorMessage="1" promptTitle="Return to Invoice Price" prompt="&#10;# Add-on Cover, Covers the Difference of Current Invoice Price and IDV of the Policy upto a Max of 10% of Inv Value, in case of Total Loss&#10;&#10;# Cover Avb upto 2nd Renewal only&#10;&#10;# Subj to: Ownership Must be the same as in Invoice during these three Years" sqref="I10">
      <formula1>RTIMISC</formula1>
    </dataValidation>
    <dataValidation type="list" operator="equal" promptTitle="Zone of Registration / Operation" prompt="&#10;Place at which, Vehicles are Registered or Normally plying through out policy period:&#10;&#10;# Zone A: New Delhi, Kolkatta, Mumbai, Chennai&#10;&#10;# Zone B: Cities of State Capitals&#10;&#10;# Zone C: Rest of India (ROI)" sqref="E7">
      <formula1>"Zone:  A,Zone:  B,Zone:  C"</formula1>
    </dataValidation>
    <dataValidation type="list" allowBlank="1" showErrorMessage="1" promptTitle="CNG / LPG Kit" prompt="&#10;# Must be Declared, if RC / Veh is endorsed for Bi-Fuel, duly fitted with CNG/LPG Kit&#10;&#10;# Pay an Additional Premium of Rs.60/- towards Legal Liability for both Liability Only and Package Policies&#10;&#10;# Coverage for Kit value is Avb only with Package Policy" sqref="G9:H9">
      <formula1>"CNG/LPG - Yes,CNG/LPG - No"</formula1>
    </dataValidation>
    <dataValidation type="list" operator="equal" showErrorMessage="1" promptTitle="Limited to use of Own Premises" prompt="&#10;# This Cover is ideal for the Equipment used in the Insured's Ownsite, through out the policy period&#10;&#10;# Claims payable, if the Accident happens to be in Insured's own site only&#10;&#10;# On Option of this, A Disc @ 33.33% (One-Third) on OD Part shall be offered" sqref="F13">
      <formula1>"Limited (OD Only),No Limit (Wider)"</formula1>
    </dataValidation>
    <dataValidation type="list" allowBlank="1" showErrorMessage="1" promptTitle="Inclusion of Trailors" prompt="&#10;# Provision for Inclusion of One Trailor&#10;&#10;# If included, Third Party Premium be paid depends on usage of such trailor, viz., Agricultural and Others&#10;&#10;# If OD Part to be covered, value of such trailor be given by paying appropriate Prem, as to its usage" sqref="E12">
      <formula1>"Trailors - One,Trailors - None"</formula1>
    </dataValidation>
    <dataValidation type="list" allowBlank="1" showErrorMessage="1" promptTitle="No Claim Bonus shall be granted:" prompt="&#10;# Expiry of Prev Policy must be with in 90 Days&#10;&#10;# There should not be any Claim in the Previous Policy&#10;&#10;# Ownership shall also be same as the Previous Policy&#10;&#10;# Basis: Renewal Notice or No Claim Declaration by the Insured" sqref="G13:H13">
      <formula1>NCB</formula1>
    </dataValidation>
    <dataValidation type="decimal" allowBlank="1" showErrorMessage="1" promptTitle="Underwriting / Detariff Discount" prompt="&#10;# Field Permits the Users, to give a Max of 81% Discount on OD Part of Premium&#10;&#10;# Subject to computation of Minimum OD Part of Premium&#10;&#10;# To be followed by our Co's Discount Pattern from time to time" errorTitle="U/w Discount" error="Please Enter the Discount %age Correctly (Max 93.69%), to validate this Field" sqref="I13">
      <formula1>0</formula1>
      <formula2>93.69</formula2>
    </dataValidation>
    <dataValidation type="list" allowBlank="1" showErrorMessage="1" promptTitle="Legal Liability to Employees" prompt="&#10;# This is a wider cover, Available at Option for the Proposer, on payment of Rs.50/- each&#10;&#10;# Compensation towards; Accidental Death, Bodily Injury, PTD etc during the course of employment, shall be settled as per the WC Courts" sqref="I7">
      <formula1>"Not Required,Yes 1/Emp,Yes 2/Emp,Yes 3/Emp"</formula1>
    </dataValidation>
    <dataValidation type="list" allowBlank="1" showErrorMessage="1" promptTitle="Discount for Anti Theft Devices" prompt="&#10;# A Discount of 2.5% of on OD Part of Premium, subject to a Max of Rs.500/-&#10;&#10;# Anti-Theft Discount shall be offered, only if such Device is approved by ARAI&#10;&#10;# This is a separate Disc, apart from all sorts of Discounts, viz, U/w Disc, NCB" sqref="F15">
      <formula1>"Anti Theft - Yes,Anti Theft - No"</formula1>
    </dataValidation>
    <dataValidation type="list" allowBlank="1" showErrorMessage="1" promptTitle="Third Party Property Damage:" prompt="&#10;# On Limitation of TPPD Cover, Insurer compensates for such Damages, Upto a Limit of Rs. 6,000/- only&#10;&#10;# Otherwise, the same shall be compensated upto Rs.7,50,000/-&#10;&#10;# On Restriction  of Cover, Appropriate Premium shall be reduced from TP Part of Premium" sqref="E15">
      <formula1>"TPPD - Limited,TPPD - Wider"</formula1>
    </dataValidation>
    <dataValidation type="list" allowBlank="1" showErrorMessage="1" promptTitle="Compulsory PA: Owner-cum-Driver" prompt="&#10;# Rs.2,00,000/- PA Cover for Registered Owner of the Vehicle&#10;&#10;# Cover can be opted-out only, if Regd on Firm's Name and also if the Owner is not having a valid Driving License&#10;&#10;# On Option of Cover, Rs.100/- shall be added to the TP Part of Premium" sqref="D15">
      <formula1>"Owner PA - Yes,Owner PA - No"</formula1>
    </dataValidation>
    <dataValidation type="list" allowBlank="1" showErrorMessage="1" promptTitle="IMT 23, Coverage for IMT 21 Excl" prompt="&#10;# Com Veh Package Policy, excludes the following Exp:&#10;&#10;# Lamps, Tyres/Tubes, Mudguards, Bonnet, Side Parts, Bumpers, Headlights and Paintwork of Damaged Portion only&#10;&#10;# On Option of IMT 23, Insured gets 50% of Abv Exp" sqref="G15:H15">
      <formula1>"IMT 23 - Yes,IMT 23 - No"</formula1>
    </dataValidation>
    <dataValidation type="list" allowBlank="1" showErrorMessage="1" promptTitle="Geographical Extension" prompt="&#10;# On option of Cover, Insured has to pay a fixed amount of Rs.500/-&#10;&#10;# Geog Ext Avb only for following SAARC countries viz., Nepal, Sri Lanka, Maldives, Bhutan, Pakistan, Bangladesh&#10;&#10;# Must be choosen any one country, only from above listed countires" sqref="I15">
      <formula1>"Geog Ext - Yes,Geog Ext - No"</formula1>
    </dataValidation>
    <dataValidation operator="equal" allowBlank="1" showErrorMessage="1" errorTitle="Sum Insured" error="Please Enter the Data Correctly, to validate the Field" sqref="H27:H30">
      <formula1>0</formula1>
    </dataValidation>
  </dataValidations>
  <printOptions horizontalCentered="1" verticalCentered="1"/>
  <pageMargins left="0.5" right="0.5" top="0.4" bottom="0.4" header="0.3" footer="0.3"/>
  <pageSetup fitToHeight="1" fitToWidth="1" horizontalDpi="300" verticalDpi="300" orientation="portrait" paperSize="9" scale="95" r:id="rId1"/>
</worksheet>
</file>

<file path=xl/worksheets/sheet8.xml><?xml version="1.0" encoding="utf-8"?>
<worksheet xmlns="http://schemas.openxmlformats.org/spreadsheetml/2006/main" xmlns:r="http://schemas.openxmlformats.org/officeDocument/2006/relationships">
  <sheetPr>
    <tabColor theme="0"/>
    <pageSetUpPr fitToPage="1"/>
  </sheetPr>
  <dimension ref="A1:AI65"/>
  <sheetViews>
    <sheetView showGridLines="0" showRowColHeaders="0" zoomScalePageLayoutView="0" workbookViewId="0" topLeftCell="A1">
      <selection activeCell="E4" sqref="E4:F5"/>
    </sheetView>
  </sheetViews>
  <sheetFormatPr defaultColWidth="0" defaultRowHeight="15" customHeight="1" zeroHeight="1"/>
  <cols>
    <col min="1" max="1" width="1.7109375" style="2" customWidth="1"/>
    <col min="2" max="2" width="2.7109375" style="2" customWidth="1"/>
    <col min="3" max="3" width="1.7109375" style="2" customWidth="1"/>
    <col min="4" max="6" width="14.7109375" style="2" customWidth="1"/>
    <col min="7" max="7" width="1.421875" style="2" customWidth="1"/>
    <col min="8" max="8" width="13.7109375" style="2" customWidth="1"/>
    <col min="9" max="9" width="14.7109375" style="2" customWidth="1"/>
    <col min="10" max="10" width="1.7109375" style="2" customWidth="1"/>
    <col min="11" max="11" width="2.7109375" style="117" customWidth="1"/>
    <col min="12" max="12" width="2.00390625" style="121" customWidth="1"/>
    <col min="13" max="13" width="3.7109375" style="121" customWidth="1"/>
    <col min="14" max="15" width="19.7109375" style="121" customWidth="1"/>
    <col min="16" max="16" width="1.7109375" style="121" customWidth="1"/>
    <col min="17" max="17" width="2.7109375" style="121" hidden="1" customWidth="1"/>
    <col min="18" max="18" width="9.28125" style="2" hidden="1" customWidth="1"/>
    <col min="19" max="19" width="8.00390625" style="2" hidden="1" customWidth="1"/>
    <col min="20" max="20" width="12.57421875" style="2" hidden="1" customWidth="1"/>
    <col min="21" max="21" width="10.7109375" style="2" hidden="1" customWidth="1"/>
    <col min="22" max="22" width="12.00390625" style="2" hidden="1" customWidth="1"/>
    <col min="23" max="23" width="8.28125" style="119" hidden="1" customWidth="1"/>
    <col min="24" max="24" width="8.00390625" style="119" hidden="1" customWidth="1"/>
    <col min="25" max="25" width="9.28125" style="120" hidden="1" customWidth="1"/>
    <col min="26" max="26" width="10.57421875" style="120" hidden="1" customWidth="1"/>
    <col min="27" max="28" width="10.421875" style="2" hidden="1" customWidth="1"/>
    <col min="29" max="29" width="2.7109375" style="2" hidden="1" customWidth="1"/>
    <col min="30" max="35" width="10.421875" style="2" hidden="1" customWidth="1"/>
    <col min="36" max="16384" width="3.57421875" style="2" hidden="1" customWidth="1"/>
  </cols>
  <sheetData>
    <row r="1" spans="1:26" s="362" customFormat="1" ht="9" customHeight="1">
      <c r="A1" s="357"/>
      <c r="B1" s="357"/>
      <c r="C1" s="357"/>
      <c r="D1" s="357"/>
      <c r="E1" s="357"/>
      <c r="F1" s="357"/>
      <c r="G1" s="357"/>
      <c r="H1" s="357"/>
      <c r="I1" s="489"/>
      <c r="J1" s="357"/>
      <c r="K1" s="357"/>
      <c r="L1" s="357"/>
      <c r="M1" s="357"/>
      <c r="N1" s="357"/>
      <c r="O1" s="357"/>
      <c r="P1" s="357"/>
      <c r="Q1" s="357"/>
      <c r="R1" s="357"/>
      <c r="S1" s="357"/>
      <c r="T1" s="357"/>
      <c r="U1" s="357"/>
      <c r="V1" s="357"/>
      <c r="W1" s="357"/>
      <c r="X1" s="357"/>
      <c r="Y1" s="360"/>
      <c r="Z1" s="361"/>
    </row>
    <row r="2" spans="1:26" s="43" customFormat="1" ht="24" customHeight="1">
      <c r="A2" s="39"/>
      <c r="B2" s="45"/>
      <c r="C2" s="615" t="s">
        <v>75</v>
      </c>
      <c r="D2" s="616"/>
      <c r="E2" s="616"/>
      <c r="F2" s="616"/>
      <c r="G2" s="626" t="str">
        <f>CONCATENATE("Com: ",ROUND(N47,0))</f>
        <v>Com: 334</v>
      </c>
      <c r="H2" s="626"/>
      <c r="I2" s="627" t="s">
        <v>437</v>
      </c>
      <c r="J2" s="627"/>
      <c r="K2" s="628"/>
      <c r="L2" s="39"/>
      <c r="M2" s="761" t="s">
        <v>465</v>
      </c>
      <c r="N2" s="761"/>
      <c r="O2" s="761"/>
      <c r="P2" s="39"/>
      <c r="Q2" s="39"/>
      <c r="R2" s="485" t="s">
        <v>438</v>
      </c>
      <c r="S2" s="357"/>
      <c r="T2" s="479" t="s">
        <v>70</v>
      </c>
      <c r="U2" s="480" t="s">
        <v>446</v>
      </c>
      <c r="V2" s="480" t="s">
        <v>20</v>
      </c>
      <c r="W2" s="479" t="s">
        <v>73</v>
      </c>
      <c r="X2" s="479" t="s">
        <v>74</v>
      </c>
      <c r="Y2" s="48">
        <v>0</v>
      </c>
      <c r="Z2" s="42">
        <v>0</v>
      </c>
    </row>
    <row r="3" spans="1:26" s="43" customFormat="1" ht="12" customHeight="1">
      <c r="A3" s="39"/>
      <c r="B3" s="49"/>
      <c r="C3" s="53"/>
      <c r="D3" s="633"/>
      <c r="E3" s="633"/>
      <c r="F3" s="633"/>
      <c r="G3" s="633"/>
      <c r="H3" s="633"/>
      <c r="I3" s="633"/>
      <c r="J3" s="53"/>
      <c r="K3" s="509"/>
      <c r="L3" s="39"/>
      <c r="M3" s="762" t="s">
        <v>463</v>
      </c>
      <c r="N3" s="762"/>
      <c r="O3" s="762"/>
      <c r="P3" s="39"/>
      <c r="Q3" s="39"/>
      <c r="R3" s="485" t="s">
        <v>82</v>
      </c>
      <c r="S3" s="357"/>
      <c r="T3" s="484" t="s">
        <v>443</v>
      </c>
      <c r="U3" s="481">
        <v>1.708</v>
      </c>
      <c r="V3" s="481">
        <v>1.6760000000000002</v>
      </c>
      <c r="W3" s="482">
        <v>4.21</v>
      </c>
      <c r="X3" s="483">
        <v>1045</v>
      </c>
      <c r="Y3" s="48">
        <f aca="true" t="shared" si="0" ref="Y3:Y11">Y2+10000</f>
        <v>10000</v>
      </c>
      <c r="Z3" s="42">
        <v>20</v>
      </c>
    </row>
    <row r="4" spans="1:26" s="43" customFormat="1" ht="21" customHeight="1">
      <c r="A4" s="39"/>
      <c r="B4" s="49"/>
      <c r="C4" s="50"/>
      <c r="D4" s="749" t="s">
        <v>80</v>
      </c>
      <c r="E4" s="750" t="s">
        <v>474</v>
      </c>
      <c r="F4" s="750"/>
      <c r="G4" s="711" t="s">
        <v>81</v>
      </c>
      <c r="H4" s="711"/>
      <c r="I4" s="753" t="s">
        <v>447</v>
      </c>
      <c r="J4" s="52"/>
      <c r="K4" s="297">
        <f>IF(I4="Package Policy",1,2)</f>
        <v>2</v>
      </c>
      <c r="L4" s="39"/>
      <c r="M4" s="762"/>
      <c r="N4" s="762"/>
      <c r="O4" s="762"/>
      <c r="P4" s="39"/>
      <c r="Q4" s="39"/>
      <c r="R4" s="485" t="s">
        <v>447</v>
      </c>
      <c r="S4" s="357"/>
      <c r="T4" s="484" t="s">
        <v>444</v>
      </c>
      <c r="U4" s="481">
        <v>1.708</v>
      </c>
      <c r="V4" s="481">
        <v>1.6760000000000002</v>
      </c>
      <c r="W4" s="482">
        <v>4.21</v>
      </c>
      <c r="X4" s="483">
        <v>3285</v>
      </c>
      <c r="Y4" s="48">
        <f t="shared" si="0"/>
        <v>20000</v>
      </c>
      <c r="Z4" s="42">
        <v>25</v>
      </c>
    </row>
    <row r="5" spans="1:26" s="43" customFormat="1" ht="9" customHeight="1">
      <c r="A5" s="39"/>
      <c r="B5" s="49"/>
      <c r="C5" s="50"/>
      <c r="D5" s="749"/>
      <c r="E5" s="750"/>
      <c r="F5" s="750"/>
      <c r="G5" s="711"/>
      <c r="H5" s="711"/>
      <c r="I5" s="753"/>
      <c r="J5" s="52"/>
      <c r="K5" s="297"/>
      <c r="L5" s="87"/>
      <c r="M5" s="87"/>
      <c r="N5" s="87"/>
      <c r="O5" s="87"/>
      <c r="P5" s="87"/>
      <c r="Q5" s="39"/>
      <c r="R5" s="485"/>
      <c r="S5" s="357"/>
      <c r="T5" s="484" t="s">
        <v>445</v>
      </c>
      <c r="U5" s="481">
        <v>1.7930000000000001</v>
      </c>
      <c r="V5" s="481">
        <v>1.76</v>
      </c>
      <c r="W5" s="482">
        <v>4.21</v>
      </c>
      <c r="X5" s="483">
        <v>5453</v>
      </c>
      <c r="Y5" s="48">
        <f t="shared" si="0"/>
        <v>30000</v>
      </c>
      <c r="Z5" s="42">
        <v>35</v>
      </c>
    </row>
    <row r="6" spans="1:26" s="43" customFormat="1" ht="21" customHeight="1">
      <c r="A6" s="39"/>
      <c r="B6" s="49"/>
      <c r="C6" s="53"/>
      <c r="D6" s="53"/>
      <c r="E6" s="53"/>
      <c r="F6" s="53"/>
      <c r="G6" s="53"/>
      <c r="H6" s="53"/>
      <c r="I6" s="53"/>
      <c r="J6" s="53"/>
      <c r="K6" s="297"/>
      <c r="L6" s="39"/>
      <c r="M6" s="774" t="s">
        <v>464</v>
      </c>
      <c r="N6" s="774"/>
      <c r="O6" s="511">
        <f>IF(AI55=0,"Not Avb",AI55)</f>
        <v>8063</v>
      </c>
      <c r="P6" s="39"/>
      <c r="Q6" s="39"/>
      <c r="R6" s="357"/>
      <c r="S6" s="357"/>
      <c r="T6" s="484" t="s">
        <v>23</v>
      </c>
      <c r="U6" s="481">
        <v>1.879</v>
      </c>
      <c r="V6" s="481">
        <v>1.8439999999999999</v>
      </c>
      <c r="W6" s="482">
        <v>5.21</v>
      </c>
      <c r="X6" s="483">
        <v>13034</v>
      </c>
      <c r="Y6" s="48">
        <f t="shared" si="0"/>
        <v>40000</v>
      </c>
      <c r="Z6" s="42">
        <v>45</v>
      </c>
    </row>
    <row r="7" spans="1:26" s="43" customFormat="1" ht="21" customHeight="1">
      <c r="A7" s="39"/>
      <c r="B7" s="49"/>
      <c r="C7" s="50"/>
      <c r="D7" s="506" t="s">
        <v>84</v>
      </c>
      <c r="E7" s="505" t="s">
        <v>85</v>
      </c>
      <c r="F7" s="505" t="s">
        <v>86</v>
      </c>
      <c r="G7" s="711" t="s">
        <v>87</v>
      </c>
      <c r="H7" s="711"/>
      <c r="I7" s="505" t="s">
        <v>11</v>
      </c>
      <c r="J7" s="50"/>
      <c r="K7" s="297">
        <f>IF(I8="Zone:  A",1,2)</f>
        <v>2</v>
      </c>
      <c r="L7" s="87"/>
      <c r="M7" s="87"/>
      <c r="N7" s="87"/>
      <c r="O7" s="87"/>
      <c r="P7" s="87"/>
      <c r="Q7" s="39"/>
      <c r="R7" s="357"/>
      <c r="S7" s="357"/>
      <c r="T7" s="508">
        <f>IF(I8="Zone: A",U7,V7)</f>
        <v>1.7930000000000001</v>
      </c>
      <c r="U7" s="95">
        <f>IF(G8="",U3,VLOOKUP(G8,T3:U6,2,0))</f>
        <v>1.7930000000000001</v>
      </c>
      <c r="V7" s="95">
        <f>IF(G8="",V3,VLOOKUP(G8,T3:V6,3,0))</f>
        <v>1.76</v>
      </c>
      <c r="W7" s="95">
        <f>IF(G8="",W3,VLOOKUP(G8,T3:W6,4,0))</f>
        <v>4.21</v>
      </c>
      <c r="X7" s="95">
        <f>IF(G8="",X3,VLOOKUP(G8,T3:X6,5,0))</f>
        <v>5453</v>
      </c>
      <c r="Y7" s="48">
        <f t="shared" si="0"/>
        <v>50000</v>
      </c>
      <c r="Z7" s="42">
        <v>50</v>
      </c>
    </row>
    <row r="8" spans="1:26" s="43" customFormat="1" ht="21" customHeight="1">
      <c r="A8" s="39"/>
      <c r="B8" s="49"/>
      <c r="C8" s="50"/>
      <c r="D8" s="754" t="s">
        <v>441</v>
      </c>
      <c r="E8" s="747" t="s">
        <v>401</v>
      </c>
      <c r="F8" s="748" t="s">
        <v>253</v>
      </c>
      <c r="G8" s="775" t="s">
        <v>445</v>
      </c>
      <c r="H8" s="775"/>
      <c r="I8" s="713" t="s">
        <v>448</v>
      </c>
      <c r="J8" s="52"/>
      <c r="K8" s="297"/>
      <c r="L8" s="39"/>
      <c r="M8" s="765" t="s">
        <v>82</v>
      </c>
      <c r="N8" s="763" t="s">
        <v>450</v>
      </c>
      <c r="O8" s="763"/>
      <c r="P8" s="39"/>
      <c r="Q8" s="39"/>
      <c r="R8" s="512">
        <f>I55</f>
        <v>10315</v>
      </c>
      <c r="S8" s="39"/>
      <c r="T8" s="39"/>
      <c r="U8" s="39"/>
      <c r="V8" s="39"/>
      <c r="W8" s="39"/>
      <c r="X8" s="39"/>
      <c r="Y8" s="48">
        <f t="shared" si="0"/>
        <v>60000</v>
      </c>
      <c r="Z8" s="42">
        <v>65</v>
      </c>
    </row>
    <row r="9" spans="1:26" s="43" customFormat="1" ht="21" customHeight="1">
      <c r="A9" s="39"/>
      <c r="B9" s="49"/>
      <c r="C9" s="50"/>
      <c r="D9" s="754"/>
      <c r="E9" s="747"/>
      <c r="F9" s="748"/>
      <c r="G9" s="775"/>
      <c r="H9" s="775"/>
      <c r="I9" s="713"/>
      <c r="J9" s="52"/>
      <c r="K9" s="297"/>
      <c r="L9" s="39"/>
      <c r="M9" s="765"/>
      <c r="N9" s="487" t="s">
        <v>451</v>
      </c>
      <c r="O9" s="487" t="s">
        <v>210</v>
      </c>
      <c r="P9" s="39"/>
      <c r="Q9" s="39"/>
      <c r="R9" s="39"/>
      <c r="S9" s="39"/>
      <c r="T9" s="95"/>
      <c r="U9" s="95"/>
      <c r="V9" s="95"/>
      <c r="W9" s="95"/>
      <c r="X9" s="95"/>
      <c r="Y9" s="48">
        <f t="shared" si="0"/>
        <v>70000</v>
      </c>
      <c r="Z9" s="42"/>
    </row>
    <row r="10" spans="1:26" s="43" customFormat="1" ht="21" customHeight="1">
      <c r="A10" s="39"/>
      <c r="B10" s="49"/>
      <c r="C10" s="53"/>
      <c r="D10" s="59"/>
      <c r="E10" s="53"/>
      <c r="F10" s="53"/>
      <c r="G10" s="53"/>
      <c r="H10" s="53"/>
      <c r="I10" s="53"/>
      <c r="J10" s="53"/>
      <c r="K10" s="297"/>
      <c r="L10" s="39"/>
      <c r="M10" s="765"/>
      <c r="N10" s="488">
        <f>IF(AG55=0,"Not Avb",AG55)</f>
        <v>11655</v>
      </c>
      <c r="O10" s="488">
        <f>IF(AF55=0,"Not Avb",AF55)</f>
        <v>14182</v>
      </c>
      <c r="P10" s="39"/>
      <c r="Q10" s="39"/>
      <c r="R10" s="39"/>
      <c r="S10" s="39"/>
      <c r="T10" s="39"/>
      <c r="U10" s="39"/>
      <c r="V10" s="39"/>
      <c r="W10" s="95" t="s">
        <v>476</v>
      </c>
      <c r="X10" s="39"/>
      <c r="Y10" s="48">
        <f t="shared" si="0"/>
        <v>80000</v>
      </c>
      <c r="Z10" s="42"/>
    </row>
    <row r="11" spans="1:26" s="43" customFormat="1" ht="21" customHeight="1">
      <c r="A11" s="39"/>
      <c r="B11" s="49"/>
      <c r="C11" s="50"/>
      <c r="D11" s="507" t="str">
        <f>IF(F8&lt;5.01,"IDV of Vehicle","Sum Insured")</f>
        <v>Sum Insured</v>
      </c>
      <c r="E11" s="507" t="s">
        <v>90</v>
      </c>
      <c r="F11" s="507" t="s">
        <v>91</v>
      </c>
      <c r="G11" s="711" t="s">
        <v>470</v>
      </c>
      <c r="H11" s="711"/>
      <c r="I11" s="513" t="s">
        <v>471</v>
      </c>
      <c r="J11" s="50"/>
      <c r="K11" s="297"/>
      <c r="L11" s="39"/>
      <c r="M11" s="765"/>
      <c r="N11" s="487" t="s">
        <v>211</v>
      </c>
      <c r="O11" s="487" t="s">
        <v>331</v>
      </c>
      <c r="P11" s="39"/>
      <c r="Q11" s="39"/>
      <c r="R11" s="64" t="s">
        <v>96</v>
      </c>
      <c r="S11" s="64" t="s">
        <v>97</v>
      </c>
      <c r="T11" s="64" t="s">
        <v>98</v>
      </c>
      <c r="U11" s="64" t="s">
        <v>99</v>
      </c>
      <c r="V11" s="39"/>
      <c r="W11" s="95" t="s">
        <v>479</v>
      </c>
      <c r="X11" s="39"/>
      <c r="Y11" s="48">
        <f t="shared" si="0"/>
        <v>90000</v>
      </c>
      <c r="Z11" s="42"/>
    </row>
    <row r="12" spans="1:26" s="43" customFormat="1" ht="21" customHeight="1">
      <c r="A12" s="39"/>
      <c r="B12" s="49"/>
      <c r="C12" s="50"/>
      <c r="D12" s="746">
        <v>108108</v>
      </c>
      <c r="E12" s="746">
        <v>10818</v>
      </c>
      <c r="F12" s="746">
        <v>10818</v>
      </c>
      <c r="G12" s="752">
        <v>30</v>
      </c>
      <c r="H12" s="752"/>
      <c r="I12" s="778">
        <v>35</v>
      </c>
      <c r="J12" s="52"/>
      <c r="K12" s="297">
        <f>IF(G11="NDP - Yes",1,0)</f>
        <v>1</v>
      </c>
      <c r="L12" s="39"/>
      <c r="M12" s="765"/>
      <c r="N12" s="515">
        <f>IF(AE55=0,"Not Avb",AE55)</f>
        <v>13634</v>
      </c>
      <c r="O12" s="515">
        <f>IF(AD55=0,"Not Avb",AD55)</f>
        <v>16161</v>
      </c>
      <c r="P12" s="39"/>
      <c r="Q12" s="39"/>
      <c r="R12" s="486">
        <v>15</v>
      </c>
      <c r="S12" s="486">
        <v>0.3</v>
      </c>
      <c r="T12" s="67">
        <f>IF(I8="Zone: A",U7,V7)</f>
        <v>1.7930000000000001</v>
      </c>
      <c r="U12" s="66">
        <f>IF(G8="",X3,VLOOKUP(G8,T3:X6,5,0))</f>
        <v>5453</v>
      </c>
      <c r="V12" s="39"/>
      <c r="W12" s="95" t="s">
        <v>477</v>
      </c>
      <c r="X12" s="39"/>
      <c r="Y12" s="48">
        <f>Y11+10000</f>
        <v>100000</v>
      </c>
      <c r="Z12" s="39"/>
    </row>
    <row r="13" spans="1:26" s="43" customFormat="1" ht="21" customHeight="1">
      <c r="A13" s="39"/>
      <c r="B13" s="49"/>
      <c r="C13" s="50"/>
      <c r="D13" s="746"/>
      <c r="E13" s="746"/>
      <c r="F13" s="746"/>
      <c r="G13" s="752"/>
      <c r="H13" s="752"/>
      <c r="I13" s="778"/>
      <c r="J13" s="52"/>
      <c r="K13" s="297">
        <f>IF(I11="RTI - Yes",1,0)</f>
        <v>1</v>
      </c>
      <c r="L13" s="87"/>
      <c r="M13" s="87"/>
      <c r="N13" s="87"/>
      <c r="O13" s="87"/>
      <c r="P13" s="87"/>
      <c r="Q13" s="39"/>
      <c r="R13" s="486">
        <v>1.8</v>
      </c>
      <c r="S13" s="486">
        <v>1.41</v>
      </c>
      <c r="T13" s="67">
        <f>IF(G8="",W3,VLOOKUP(G8,T3:W6,4,0))</f>
        <v>4.21</v>
      </c>
      <c r="U13" s="66"/>
      <c r="V13" s="39"/>
      <c r="W13" s="518">
        <f>U49</f>
        <v>1420</v>
      </c>
      <c r="X13" s="39"/>
      <c r="Y13" s="39"/>
      <c r="Z13" s="39"/>
    </row>
    <row r="14" spans="1:26" s="43" customFormat="1" ht="21" customHeight="1">
      <c r="A14" s="39"/>
      <c r="B14" s="49"/>
      <c r="C14" s="53"/>
      <c r="D14" s="53"/>
      <c r="E14" s="53"/>
      <c r="F14" s="53"/>
      <c r="G14" s="53"/>
      <c r="H14" s="53"/>
      <c r="I14" s="53"/>
      <c r="J14" s="53"/>
      <c r="K14" s="297"/>
      <c r="L14" s="39"/>
      <c r="M14" s="765" t="s">
        <v>447</v>
      </c>
      <c r="N14" s="763" t="s">
        <v>449</v>
      </c>
      <c r="O14" s="763"/>
      <c r="P14" s="39"/>
      <c r="Q14" s="39"/>
      <c r="R14" s="518">
        <f>G12</f>
        <v>30</v>
      </c>
      <c r="S14" s="39"/>
      <c r="T14" s="39"/>
      <c r="U14" s="39"/>
      <c r="V14" s="39"/>
      <c r="W14" s="39"/>
      <c r="X14" s="39"/>
      <c r="Y14" s="39"/>
      <c r="Z14" s="39"/>
    </row>
    <row r="15" spans="1:26" s="43" customFormat="1" ht="21" customHeight="1">
      <c r="A15" s="39"/>
      <c r="B15" s="49"/>
      <c r="C15" s="50"/>
      <c r="D15" s="505" t="s">
        <v>100</v>
      </c>
      <c r="E15" s="505" t="s">
        <v>101</v>
      </c>
      <c r="F15" s="505" t="s">
        <v>102</v>
      </c>
      <c r="G15" s="711" t="s">
        <v>103</v>
      </c>
      <c r="H15" s="711"/>
      <c r="I15" s="506" t="s">
        <v>104</v>
      </c>
      <c r="J15" s="53"/>
      <c r="K15" s="297"/>
      <c r="L15" s="39"/>
      <c r="M15" s="765"/>
      <c r="N15" s="487" t="s">
        <v>451</v>
      </c>
      <c r="O15" s="487" t="s">
        <v>210</v>
      </c>
      <c r="P15" s="39"/>
      <c r="Q15" s="39"/>
      <c r="R15" s="95" t="s">
        <v>438</v>
      </c>
      <c r="S15" s="95" t="s">
        <v>467</v>
      </c>
      <c r="T15" s="39"/>
      <c r="U15" s="39"/>
      <c r="V15" s="39"/>
      <c r="W15" s="39"/>
      <c r="X15" s="39"/>
      <c r="Y15" s="39"/>
      <c r="Z15" s="39"/>
    </row>
    <row r="16" spans="1:26" s="43" customFormat="1" ht="21" customHeight="1">
      <c r="A16" s="39"/>
      <c r="B16" s="49"/>
      <c r="C16" s="50"/>
      <c r="D16" s="773" t="s">
        <v>479</v>
      </c>
      <c r="E16" s="759" t="s">
        <v>473</v>
      </c>
      <c r="F16" s="760">
        <v>60000</v>
      </c>
      <c r="G16" s="714">
        <v>20</v>
      </c>
      <c r="H16" s="714"/>
      <c r="I16" s="766">
        <v>30</v>
      </c>
      <c r="J16" s="53"/>
      <c r="K16" s="510">
        <f>IF(D16="Yes (Required)",1,2)</f>
        <v>2</v>
      </c>
      <c r="L16" s="39"/>
      <c r="M16" s="765"/>
      <c r="N16" s="488">
        <f>IF(AB55=0,"Not Avb",AB55)</f>
        <v>9757</v>
      </c>
      <c r="O16" s="488">
        <f>IF(AA55=0,"Not Avb",AA55)</f>
        <v>10012</v>
      </c>
      <c r="P16" s="39"/>
      <c r="Q16" s="39"/>
      <c r="R16" s="95" t="s">
        <v>82</v>
      </c>
      <c r="S16" s="95" t="s">
        <v>468</v>
      </c>
      <c r="T16" s="39"/>
      <c r="U16" s="39"/>
      <c r="V16" s="39"/>
      <c r="W16" s="39"/>
      <c r="X16" s="39"/>
      <c r="Y16" s="39"/>
      <c r="Z16" s="39"/>
    </row>
    <row r="17" spans="1:26" s="43" customFormat="1" ht="21" customHeight="1">
      <c r="A17" s="39"/>
      <c r="B17" s="49"/>
      <c r="C17" s="50"/>
      <c r="D17" s="773"/>
      <c r="E17" s="759"/>
      <c r="F17" s="760"/>
      <c r="G17" s="714"/>
      <c r="H17" s="714"/>
      <c r="I17" s="766"/>
      <c r="J17" s="53"/>
      <c r="K17" s="510"/>
      <c r="L17" s="39"/>
      <c r="M17" s="765"/>
      <c r="N17" s="487" t="s">
        <v>211</v>
      </c>
      <c r="O17" s="487" t="s">
        <v>331</v>
      </c>
      <c r="P17" s="39"/>
      <c r="Q17" s="39"/>
      <c r="R17" s="95" t="s">
        <v>447</v>
      </c>
      <c r="S17" s="95" t="s">
        <v>469</v>
      </c>
      <c r="T17" s="39"/>
      <c r="U17" s="39"/>
      <c r="V17" s="39"/>
      <c r="W17" s="39"/>
      <c r="X17" s="39"/>
      <c r="Y17" s="39"/>
      <c r="Z17" s="39"/>
    </row>
    <row r="18" spans="1:26" s="43" customFormat="1" ht="11.25" customHeight="1">
      <c r="A18" s="39"/>
      <c r="B18" s="49"/>
      <c r="C18" s="53"/>
      <c r="D18" s="53"/>
      <c r="E18" s="53"/>
      <c r="F18" s="53"/>
      <c r="G18" s="53"/>
      <c r="H18" s="53"/>
      <c r="I18" s="53"/>
      <c r="J18" s="53"/>
      <c r="K18" s="510">
        <f>IF(E16="Yes (Limited)",1,2)</f>
        <v>1</v>
      </c>
      <c r="L18" s="39"/>
      <c r="M18" s="765"/>
      <c r="N18" s="764">
        <f>IF(Z55=0,"Not Avb",Z55)</f>
        <v>10060</v>
      </c>
      <c r="O18" s="764">
        <f>IF(Y55=0,"Not Avb",Y55)</f>
        <v>10315</v>
      </c>
      <c r="P18" s="39"/>
      <c r="Q18" s="39"/>
      <c r="R18" s="39"/>
      <c r="S18" s="39"/>
      <c r="T18" s="39"/>
      <c r="U18" s="39"/>
      <c r="V18" s="39"/>
      <c r="W18" s="39"/>
      <c r="X18" s="39"/>
      <c r="Y18" s="39"/>
      <c r="Z18" s="39"/>
    </row>
    <row r="19" spans="1:26" s="43" customFormat="1" ht="12" customHeight="1">
      <c r="A19" s="39"/>
      <c r="B19" s="767" t="str">
        <f>'Pvt Car'!B20:J20</f>
        <v>SmartCalc… Most Reliable, Simple, Fast and Efficient - Lingachari Oriental</v>
      </c>
      <c r="C19" s="768"/>
      <c r="D19" s="768"/>
      <c r="E19" s="768"/>
      <c r="F19" s="768"/>
      <c r="G19" s="768"/>
      <c r="H19" s="768"/>
      <c r="I19" s="768"/>
      <c r="J19" s="769"/>
      <c r="K19" s="776"/>
      <c r="L19" s="39"/>
      <c r="M19" s="765"/>
      <c r="N19" s="764"/>
      <c r="O19" s="764"/>
      <c r="P19" s="39"/>
      <c r="Q19" s="39"/>
      <c r="R19" s="39"/>
      <c r="S19" s="39"/>
      <c r="T19" s="39"/>
      <c r="U19" s="39"/>
      <c r="V19" s="39"/>
      <c r="W19" s="39"/>
      <c r="X19" s="39"/>
      <c r="Y19" s="39"/>
      <c r="Z19" s="39"/>
    </row>
    <row r="20" spans="1:26" s="43" customFormat="1" ht="12" customHeight="1">
      <c r="A20" s="39"/>
      <c r="B20" s="770"/>
      <c r="C20" s="771"/>
      <c r="D20" s="771"/>
      <c r="E20" s="771"/>
      <c r="F20" s="771"/>
      <c r="G20" s="771"/>
      <c r="H20" s="771"/>
      <c r="I20" s="771"/>
      <c r="J20" s="772"/>
      <c r="K20" s="777"/>
      <c r="L20" s="87"/>
      <c r="M20" s="87"/>
      <c r="N20" s="87"/>
      <c r="O20" s="87"/>
      <c r="P20" s="87"/>
      <c r="Q20" s="39"/>
      <c r="R20" s="39"/>
      <c r="S20" s="39"/>
      <c r="T20" s="39"/>
      <c r="U20" s="39"/>
      <c r="V20" s="39"/>
      <c r="W20" s="39"/>
      <c r="X20" s="39"/>
      <c r="Y20" s="48"/>
      <c r="Z20" s="42"/>
    </row>
    <row r="21" spans="1:26" s="78" customFormat="1" ht="12" customHeight="1">
      <c r="A21" s="75"/>
      <c r="B21" s="75"/>
      <c r="C21" s="75"/>
      <c r="D21" s="75"/>
      <c r="E21" s="75"/>
      <c r="F21" s="75"/>
      <c r="G21" s="751"/>
      <c r="H21" s="751"/>
      <c r="I21" s="76"/>
      <c r="J21" s="75"/>
      <c r="K21" s="75"/>
      <c r="L21" s="39"/>
      <c r="M21" s="516"/>
      <c r="N21" s="516"/>
      <c r="O21" s="516"/>
      <c r="P21" s="39"/>
      <c r="Q21" s="39"/>
      <c r="R21" s="39"/>
      <c r="S21" s="39"/>
      <c r="T21" s="39"/>
      <c r="U21" s="39"/>
      <c r="V21" s="39"/>
      <c r="W21" s="39"/>
      <c r="X21" s="74"/>
      <c r="Y21" s="48"/>
      <c r="Z21" s="77"/>
    </row>
    <row r="22" spans="1:26" s="43" customFormat="1" ht="27" customHeight="1">
      <c r="A22" s="79"/>
      <c r="B22" s="614">
        <f ca="1">TODAY()</f>
        <v>43469</v>
      </c>
      <c r="C22" s="614"/>
      <c r="D22" s="614"/>
      <c r="E22" s="614"/>
      <c r="F22" s="614"/>
      <c r="G22" s="614"/>
      <c r="H22" s="614"/>
      <c r="I22" s="614"/>
      <c r="J22" s="614"/>
      <c r="K22" s="614"/>
      <c r="L22" s="39"/>
      <c r="M22" s="39"/>
      <c r="N22" s="39"/>
      <c r="O22" s="39"/>
      <c r="P22" s="39"/>
      <c r="Q22" s="39"/>
      <c r="R22" s="39"/>
      <c r="S22" s="39"/>
      <c r="T22" s="39"/>
      <c r="U22" s="39"/>
      <c r="V22" s="39"/>
      <c r="W22" s="39"/>
      <c r="X22" s="74"/>
      <c r="Y22" s="48"/>
      <c r="Z22" s="42"/>
    </row>
    <row r="23" spans="1:26" s="43" customFormat="1" ht="36" customHeight="1">
      <c r="A23" s="79"/>
      <c r="B23" s="617" t="s">
        <v>9</v>
      </c>
      <c r="C23" s="617"/>
      <c r="D23" s="617"/>
      <c r="E23" s="617"/>
      <c r="F23" s="617"/>
      <c r="G23" s="617"/>
      <c r="H23" s="617"/>
      <c r="I23" s="617"/>
      <c r="J23" s="617"/>
      <c r="K23" s="617"/>
      <c r="L23" s="39"/>
      <c r="M23" s="39"/>
      <c r="N23" s="39"/>
      <c r="O23" s="39"/>
      <c r="P23" s="39"/>
      <c r="Q23" s="39"/>
      <c r="R23" s="39"/>
      <c r="S23" s="39"/>
      <c r="T23" s="74"/>
      <c r="U23" s="74"/>
      <c r="V23" s="39"/>
      <c r="W23" s="39"/>
      <c r="X23" s="74"/>
      <c r="Y23" s="48"/>
      <c r="Z23" s="42"/>
    </row>
    <row r="24" spans="1:26" s="43" customFormat="1" ht="36" customHeight="1">
      <c r="A24" s="79"/>
      <c r="B24" s="604" t="str">
        <f>Sign!F4</f>
        <v>DO-VI, Begumpet, Hyderabad - 500 016</v>
      </c>
      <c r="C24" s="604"/>
      <c r="D24" s="604"/>
      <c r="E24" s="604"/>
      <c r="F24" s="604"/>
      <c r="G24" s="604"/>
      <c r="H24" s="604"/>
      <c r="I24" s="604"/>
      <c r="J24" s="604"/>
      <c r="K24" s="604"/>
      <c r="L24" s="39"/>
      <c r="M24" s="39"/>
      <c r="N24" s="39"/>
      <c r="O24" s="39"/>
      <c r="P24" s="39"/>
      <c r="Q24" s="39"/>
      <c r="R24" s="39"/>
      <c r="S24" s="39"/>
      <c r="T24" s="74"/>
      <c r="U24" s="74"/>
      <c r="V24" s="39"/>
      <c r="W24" s="39"/>
      <c r="X24" s="74"/>
      <c r="Y24" s="48"/>
      <c r="Z24" s="42"/>
    </row>
    <row r="25" spans="1:26" s="43" customFormat="1" ht="20.25" customHeight="1">
      <c r="A25" s="79"/>
      <c r="B25" s="82"/>
      <c r="C25" s="755" t="str">
        <f>CONCATENATE("Two Wheeler Premium Quote - ",IF(I4="",S15,VLOOKUP(I4,R15:S17,2,0)))</f>
        <v>Two Wheeler Premium Quote - Long Term - Bundled Policy - 1 Year OD and 5 Years TP</v>
      </c>
      <c r="D25" s="756"/>
      <c r="E25" s="756"/>
      <c r="F25" s="756"/>
      <c r="G25" s="756"/>
      <c r="H25" s="756"/>
      <c r="I25" s="756"/>
      <c r="J25" s="756"/>
      <c r="K25" s="757"/>
      <c r="L25" s="39"/>
      <c r="M25" s="39"/>
      <c r="N25" s="39"/>
      <c r="O25" s="39"/>
      <c r="P25" s="39"/>
      <c r="Q25" s="39"/>
      <c r="R25" s="39"/>
      <c r="S25" s="74"/>
      <c r="T25" s="74"/>
      <c r="U25" s="74"/>
      <c r="V25" s="39"/>
      <c r="W25" s="39"/>
      <c r="X25" s="74"/>
      <c r="Y25" s="48"/>
      <c r="Z25" s="42"/>
    </row>
    <row r="26" spans="1:26" s="43" customFormat="1" ht="7.5" customHeight="1">
      <c r="A26" s="79"/>
      <c r="B26" s="83"/>
      <c r="C26" s="84"/>
      <c r="D26" s="84"/>
      <c r="E26" s="84"/>
      <c r="F26" s="84"/>
      <c r="G26" s="84"/>
      <c r="H26" s="84"/>
      <c r="I26" s="84"/>
      <c r="J26" s="84"/>
      <c r="K26" s="90"/>
      <c r="L26" s="39"/>
      <c r="M26" s="39"/>
      <c r="N26" s="39"/>
      <c r="O26" s="39"/>
      <c r="P26" s="39"/>
      <c r="Q26" s="39"/>
      <c r="R26" s="39"/>
      <c r="S26" s="86"/>
      <c r="T26" s="86"/>
      <c r="U26" s="86"/>
      <c r="V26" s="87"/>
      <c r="W26" s="87"/>
      <c r="X26" s="86"/>
      <c r="Y26" s="48"/>
      <c r="Z26" s="42"/>
    </row>
    <row r="27" spans="1:26" s="43" customFormat="1" ht="22.5" customHeight="1">
      <c r="A27" s="75"/>
      <c r="B27" s="83"/>
      <c r="C27" s="84"/>
      <c r="D27" s="652" t="s">
        <v>462</v>
      </c>
      <c r="E27" s="652"/>
      <c r="F27" s="652"/>
      <c r="G27" s="88" t="s">
        <v>106</v>
      </c>
      <c r="H27" s="652" t="str">
        <f>E4</f>
        <v>Mr. Gogulamudi Lingachari</v>
      </c>
      <c r="I27" s="652"/>
      <c r="J27" s="89"/>
      <c r="K27" s="90"/>
      <c r="L27" s="39"/>
      <c r="M27" s="39"/>
      <c r="N27" s="39"/>
      <c r="O27" s="39"/>
      <c r="P27" s="39"/>
      <c r="Q27" s="39"/>
      <c r="R27" s="39"/>
      <c r="S27" s="86"/>
      <c r="T27" s="86"/>
      <c r="U27" s="86"/>
      <c r="V27" s="87"/>
      <c r="W27" s="87"/>
      <c r="X27" s="86"/>
      <c r="Y27" s="48"/>
      <c r="Z27" s="42"/>
    </row>
    <row r="28" spans="1:26" s="43" customFormat="1" ht="22.5" customHeight="1">
      <c r="A28" s="75"/>
      <c r="B28" s="83"/>
      <c r="C28" s="84"/>
      <c r="D28" s="652" t="s">
        <v>107</v>
      </c>
      <c r="E28" s="652"/>
      <c r="F28" s="652"/>
      <c r="G28" s="88" t="s">
        <v>106</v>
      </c>
      <c r="H28" s="652" t="str">
        <f>UPPER(D8)</f>
        <v>FOR REGISTRATION</v>
      </c>
      <c r="I28" s="652"/>
      <c r="J28" s="89"/>
      <c r="K28" s="90"/>
      <c r="L28" s="39"/>
      <c r="M28" s="39"/>
      <c r="N28" s="39"/>
      <c r="O28" s="39"/>
      <c r="P28" s="39"/>
      <c r="Q28" s="39"/>
      <c r="R28" s="39"/>
      <c r="S28" s="86"/>
      <c r="T28" s="86"/>
      <c r="U28" s="86"/>
      <c r="V28" s="87"/>
      <c r="W28" s="87"/>
      <c r="X28" s="86"/>
      <c r="Y28" s="48"/>
      <c r="Z28" s="42"/>
    </row>
    <row r="29" spans="1:26" s="43" customFormat="1" ht="22.5" customHeight="1">
      <c r="A29" s="75"/>
      <c r="B29" s="83"/>
      <c r="C29" s="84"/>
      <c r="D29" s="652" t="s">
        <v>108</v>
      </c>
      <c r="E29" s="652"/>
      <c r="F29" s="652"/>
      <c r="G29" s="88" t="s">
        <v>106</v>
      </c>
      <c r="H29" s="652" t="str">
        <f>PROPER(E8)</f>
        <v>Enfield Electra</v>
      </c>
      <c r="I29" s="652"/>
      <c r="J29" s="89"/>
      <c r="K29" s="90"/>
      <c r="L29" s="39"/>
      <c r="M29" s="39"/>
      <c r="N29" s="39"/>
      <c r="O29" s="39"/>
      <c r="P29" s="39"/>
      <c r="Q29" s="39"/>
      <c r="R29" s="39"/>
      <c r="S29" s="86"/>
      <c r="T29" s="86"/>
      <c r="U29" s="86"/>
      <c r="V29" s="87"/>
      <c r="W29" s="87"/>
      <c r="X29" s="86"/>
      <c r="Y29" s="44"/>
      <c r="Z29" s="42"/>
    </row>
    <row r="30" spans="1:26" s="43" customFormat="1" ht="22.5" customHeight="1">
      <c r="A30" s="75"/>
      <c r="B30" s="83"/>
      <c r="C30" s="84"/>
      <c r="D30" s="652" t="s">
        <v>109</v>
      </c>
      <c r="E30" s="652"/>
      <c r="F30" s="652"/>
      <c r="G30" s="88" t="s">
        <v>106</v>
      </c>
      <c r="H30" s="652" t="str">
        <f>I4</f>
        <v>Bundled Policy</v>
      </c>
      <c r="I30" s="652"/>
      <c r="J30" s="89"/>
      <c r="K30" s="90"/>
      <c r="L30" s="39"/>
      <c r="M30" s="39"/>
      <c r="N30" s="39"/>
      <c r="O30" s="39"/>
      <c r="P30" s="39"/>
      <c r="Q30" s="39"/>
      <c r="R30" s="39"/>
      <c r="S30" s="86"/>
      <c r="T30" s="86"/>
      <c r="U30" s="86"/>
      <c r="V30" s="87"/>
      <c r="W30" s="87"/>
      <c r="X30" s="86"/>
      <c r="Y30" s="44"/>
      <c r="Z30" s="42"/>
    </row>
    <row r="31" spans="1:26" s="43" customFormat="1" ht="22.5" customHeight="1">
      <c r="A31" s="75"/>
      <c r="B31" s="83"/>
      <c r="C31" s="84"/>
      <c r="D31" s="652" t="str">
        <f>IF(F8&lt;5.01,"IDV (Insured's Declared Value) of Vehicle","Sum Insured of Vehicle")</f>
        <v>Sum Insured of Vehicle</v>
      </c>
      <c r="E31" s="652"/>
      <c r="F31" s="652"/>
      <c r="G31" s="88" t="s">
        <v>106</v>
      </c>
      <c r="H31" s="653">
        <f>D12</f>
        <v>108108</v>
      </c>
      <c r="I31" s="653"/>
      <c r="J31" s="89"/>
      <c r="K31" s="90"/>
      <c r="L31" s="39"/>
      <c r="M31" s="39"/>
      <c r="N31" s="39"/>
      <c r="O31" s="39"/>
      <c r="P31" s="39"/>
      <c r="Q31" s="39"/>
      <c r="R31" s="39"/>
      <c r="S31" s="86"/>
      <c r="T31" s="86"/>
      <c r="U31" s="86"/>
      <c r="V31" s="86"/>
      <c r="W31" s="87"/>
      <c r="X31" s="86"/>
      <c r="Y31" s="44"/>
      <c r="Z31" s="42"/>
    </row>
    <row r="32" spans="1:26" s="43" customFormat="1" ht="22.5" customHeight="1">
      <c r="A32" s="75"/>
      <c r="B32" s="83"/>
      <c r="C32" s="84"/>
      <c r="D32" s="652" t="s">
        <v>110</v>
      </c>
      <c r="E32" s="652"/>
      <c r="F32" s="652"/>
      <c r="G32" s="88" t="s">
        <v>106</v>
      </c>
      <c r="H32" s="653">
        <f>E12</f>
        <v>10818</v>
      </c>
      <c r="I32" s="653"/>
      <c r="J32" s="89"/>
      <c r="K32" s="90"/>
      <c r="L32" s="39"/>
      <c r="M32" s="39"/>
      <c r="N32" s="39"/>
      <c r="O32" s="39"/>
      <c r="P32" s="39"/>
      <c r="Q32" s="39"/>
      <c r="R32" s="39"/>
      <c r="S32" s="86"/>
      <c r="T32" s="86"/>
      <c r="U32" s="86"/>
      <c r="V32" s="86"/>
      <c r="W32" s="87"/>
      <c r="X32" s="86"/>
      <c r="Y32" s="44"/>
      <c r="Z32" s="42"/>
    </row>
    <row r="33" spans="1:26" s="43" customFormat="1" ht="22.5" customHeight="1">
      <c r="A33" s="75"/>
      <c r="B33" s="83"/>
      <c r="C33" s="84"/>
      <c r="D33" s="652" t="s">
        <v>111</v>
      </c>
      <c r="E33" s="652"/>
      <c r="F33" s="652"/>
      <c r="G33" s="88" t="s">
        <v>106</v>
      </c>
      <c r="H33" s="653">
        <f>F12</f>
        <v>10818</v>
      </c>
      <c r="I33" s="653"/>
      <c r="J33" s="89"/>
      <c r="K33" s="90"/>
      <c r="L33" s="39"/>
      <c r="M33" s="39"/>
      <c r="N33" s="39"/>
      <c r="O33" s="39"/>
      <c r="P33" s="39"/>
      <c r="Q33" s="39"/>
      <c r="R33" s="39"/>
      <c r="S33" s="87"/>
      <c r="T33" s="87"/>
      <c r="U33" s="87"/>
      <c r="V33" s="87"/>
      <c r="W33" s="87"/>
      <c r="X33" s="86"/>
      <c r="Y33" s="44"/>
      <c r="Z33" s="42"/>
    </row>
    <row r="34" spans="1:33" s="43" customFormat="1" ht="22.5" customHeight="1">
      <c r="A34" s="75"/>
      <c r="B34" s="83"/>
      <c r="C34" s="84"/>
      <c r="D34" s="652" t="s">
        <v>112</v>
      </c>
      <c r="E34" s="652"/>
      <c r="F34" s="652"/>
      <c r="G34" s="88" t="s">
        <v>106</v>
      </c>
      <c r="H34" s="654" t="str">
        <f>G8</f>
        <v>151 - 350 CC</v>
      </c>
      <c r="I34" s="654"/>
      <c r="J34" s="89"/>
      <c r="K34" s="90"/>
      <c r="L34" s="39"/>
      <c r="M34" s="39"/>
      <c r="N34" s="39"/>
      <c r="O34" s="39"/>
      <c r="P34" s="39"/>
      <c r="Q34" s="39"/>
      <c r="R34" s="39"/>
      <c r="S34" s="87"/>
      <c r="T34" s="87"/>
      <c r="U34" s="87"/>
      <c r="V34" s="87"/>
      <c r="W34" s="87"/>
      <c r="X34" s="86"/>
      <c r="Y34" s="44"/>
      <c r="Z34" s="42"/>
      <c r="AG34" s="514">
        <f>SUM(AG38:AG44)</f>
        <v>4261.5846</v>
      </c>
    </row>
    <row r="35" spans="1:33" s="43" customFormat="1" ht="22.5" customHeight="1">
      <c r="A35" s="75"/>
      <c r="B35" s="83"/>
      <c r="C35" s="84"/>
      <c r="D35" s="652" t="s">
        <v>113</v>
      </c>
      <c r="E35" s="652"/>
      <c r="F35" s="652"/>
      <c r="G35" s="88" t="s">
        <v>106</v>
      </c>
      <c r="H35" s="655" t="str">
        <f>IF(F8&lt;0.51,"New Vehicle",F8)</f>
        <v>New Vehicle</v>
      </c>
      <c r="I35" s="655"/>
      <c r="J35" s="89"/>
      <c r="K35" s="90"/>
      <c r="L35" s="39"/>
      <c r="M35" s="39"/>
      <c r="N35" s="39"/>
      <c r="O35" s="39"/>
      <c r="P35" s="39"/>
      <c r="Q35" s="39"/>
      <c r="R35" s="39"/>
      <c r="S35" s="87"/>
      <c r="T35" s="87"/>
      <c r="U35" s="87"/>
      <c r="V35" s="87"/>
      <c r="W35" s="87"/>
      <c r="X35" s="86"/>
      <c r="Y35" s="44"/>
      <c r="Z35" s="42"/>
      <c r="AG35" s="514">
        <f>100/20*1126</f>
        <v>5630</v>
      </c>
    </row>
    <row r="36" spans="1:26" s="43" customFormat="1" ht="22.5" customHeight="1">
      <c r="A36" s="75"/>
      <c r="B36" s="83"/>
      <c r="C36" s="84"/>
      <c r="D36" s="652" t="s">
        <v>114</v>
      </c>
      <c r="E36" s="652"/>
      <c r="F36" s="652"/>
      <c r="G36" s="88" t="s">
        <v>106</v>
      </c>
      <c r="H36" s="652" t="str">
        <f>I8</f>
        <v>Zone: A</v>
      </c>
      <c r="I36" s="652"/>
      <c r="J36" s="89"/>
      <c r="K36" s="90"/>
      <c r="L36" s="39"/>
      <c r="M36" s="39"/>
      <c r="N36" s="39"/>
      <c r="O36" s="39"/>
      <c r="P36" s="39"/>
      <c r="Q36" s="39"/>
      <c r="R36" s="39"/>
      <c r="S36" s="87"/>
      <c r="T36" s="87"/>
      <c r="U36" s="87"/>
      <c r="V36" s="87"/>
      <c r="W36" s="87"/>
      <c r="X36" s="86"/>
      <c r="Y36" s="44"/>
      <c r="Z36" s="42"/>
    </row>
    <row r="37" spans="1:33" s="43" customFormat="1" ht="20.25" customHeight="1">
      <c r="A37" s="75"/>
      <c r="B37" s="83"/>
      <c r="C37" s="84"/>
      <c r="D37" s="758" t="s">
        <v>115</v>
      </c>
      <c r="E37" s="758"/>
      <c r="F37" s="758"/>
      <c r="G37" s="758"/>
      <c r="H37" s="758"/>
      <c r="I37" s="758"/>
      <c r="J37" s="84"/>
      <c r="K37" s="90"/>
      <c r="L37" s="39"/>
      <c r="M37" s="39"/>
      <c r="N37" s="39"/>
      <c r="O37" s="39"/>
      <c r="P37" s="39"/>
      <c r="Q37" s="39"/>
      <c r="R37" s="39"/>
      <c r="S37" s="87"/>
      <c r="T37" s="87"/>
      <c r="U37" s="296" t="s">
        <v>213</v>
      </c>
      <c r="V37" s="87"/>
      <c r="W37" s="87"/>
      <c r="X37" s="86"/>
      <c r="Y37" s="296" t="s">
        <v>216</v>
      </c>
      <c r="Z37" s="296" t="s">
        <v>97</v>
      </c>
      <c r="AA37" s="296" t="s">
        <v>96</v>
      </c>
      <c r="AB37" s="296" t="s">
        <v>217</v>
      </c>
      <c r="AD37" s="296" t="s">
        <v>216</v>
      </c>
      <c r="AE37" s="296" t="s">
        <v>97</v>
      </c>
      <c r="AF37" s="296" t="s">
        <v>96</v>
      </c>
      <c r="AG37" s="296" t="s">
        <v>217</v>
      </c>
    </row>
    <row r="38" spans="1:33" s="43" customFormat="1" ht="22.5" customHeight="1">
      <c r="A38" s="75"/>
      <c r="B38" s="83"/>
      <c r="C38" s="84"/>
      <c r="D38" s="657" t="str">
        <f>IF(S38&lt;12,"Basic OD Premium",(VLOOKUP(S38,$T$38:$V$46,3,0)))</f>
        <v>Basic OD Premium @ 1.793 % on Vehicle Value (IDV)</v>
      </c>
      <c r="E38" s="657"/>
      <c r="F38" s="657"/>
      <c r="G38" s="657"/>
      <c r="H38" s="93" t="str">
        <f>IF(D38="","",":")</f>
        <v>:</v>
      </c>
      <c r="I38" s="94">
        <f>IF(S38&lt;24,0,VLOOKUP(S38,$T$38:$V$46,2,0))</f>
        <v>1938.3764400000002</v>
      </c>
      <c r="J38" s="84"/>
      <c r="K38" s="90"/>
      <c r="L38" s="39"/>
      <c r="M38" s="39"/>
      <c r="N38" s="39"/>
      <c r="O38" s="39"/>
      <c r="P38" s="39"/>
      <c r="Q38" s="95">
        <v>1</v>
      </c>
      <c r="R38" s="96">
        <f>IF(U38=0,Q38,T38)</f>
        <v>40</v>
      </c>
      <c r="S38" s="96">
        <f>LARGE($R$38:$R$46,ROWS(R$38:R38))</f>
        <v>40</v>
      </c>
      <c r="T38" s="96">
        <v>40</v>
      </c>
      <c r="U38" s="97">
        <f>IF(I4=R3,D12*T13%,IF(I4=R4,D12*T12%,0))</f>
        <v>1938.3764400000002</v>
      </c>
      <c r="V38" s="98" t="str">
        <f>IF(U38=0,"Basic OD Prem",CONCATENATE("Basic OD Premium @ ",(IF(I4=R3,T13,IF(I4=R4,T12,0)))," % on Vehicle Value (IDV)"))</f>
        <v>Basic OD Premium @ 1.793 % on Vehicle Value (IDV)</v>
      </c>
      <c r="W38" s="99"/>
      <c r="X38" s="99"/>
      <c r="Y38" s="97">
        <f>($D$12*$T$12%)</f>
        <v>1938.3764400000002</v>
      </c>
      <c r="Z38" s="97">
        <f>($D$12*$T$12%)</f>
        <v>1938.3764400000002</v>
      </c>
      <c r="AA38" s="97">
        <f>($D$12*$T$12%)</f>
        <v>1938.3764400000002</v>
      </c>
      <c r="AB38" s="97">
        <f>($D$12*$T$12%)</f>
        <v>1938.3764400000002</v>
      </c>
      <c r="AD38" s="97">
        <f>($D$12*$T$13%)</f>
        <v>4551.3468</v>
      </c>
      <c r="AE38" s="97">
        <f>($D$12*$T$13%)</f>
        <v>4551.3468</v>
      </c>
      <c r="AF38" s="97">
        <f>($D$12*$T$13%)</f>
        <v>4551.3468</v>
      </c>
      <c r="AG38" s="97">
        <f>($D$12*$T$13%)</f>
        <v>4551.3468</v>
      </c>
    </row>
    <row r="39" spans="1:33" s="43" customFormat="1" ht="22.5" customHeight="1">
      <c r="A39" s="75"/>
      <c r="B39" s="83"/>
      <c r="C39" s="84"/>
      <c r="D39" s="657" t="str">
        <f>IF(S39&lt;12,"",(VLOOKUP(S39,$T$38:$V$46,3,0)))</f>
        <v>Add: Prem @ 4% for Electrical/Electronic Accessories</v>
      </c>
      <c r="E39" s="657"/>
      <c r="F39" s="657"/>
      <c r="G39" s="657"/>
      <c r="H39" s="93" t="str">
        <f aca="true" t="shared" si="1" ref="H39:H46">IF(D39="","",":")</f>
        <v>:</v>
      </c>
      <c r="I39" s="94">
        <f>IF(S39&lt;24,"",VLOOKUP(S39,$T$38:$V$46,2,0))</f>
        <v>432.72</v>
      </c>
      <c r="J39" s="84"/>
      <c r="K39" s="90"/>
      <c r="L39" s="39"/>
      <c r="M39" s="39"/>
      <c r="N39" s="39"/>
      <c r="O39" s="39"/>
      <c r="P39" s="39"/>
      <c r="Q39" s="95">
        <v>2</v>
      </c>
      <c r="R39" s="96">
        <f aca="true" t="shared" si="2" ref="R39:R46">IF(U39=0,Q39,T39)</f>
        <v>39</v>
      </c>
      <c r="S39" s="96">
        <f>LARGE($R$38:$R$46,ROWS(R$38:R39))</f>
        <v>39</v>
      </c>
      <c r="T39" s="96">
        <v>39</v>
      </c>
      <c r="U39" s="100">
        <f>IF(U38=0,0,IF(I4=R3,E12*10%,IF(I4=R4,E12*4%,0)))</f>
        <v>432.72</v>
      </c>
      <c r="V39" s="98" t="str">
        <f>IF(U39=0,"",CONCATENATE("Add: Prem @ ",(IF(I4=R3,"10%",IF(I4=R4,"4%",0)))," for Electrical/Electronic Accessories"))</f>
        <v>Add: Prem @ 4% for Electrical/Electronic Accessories</v>
      </c>
      <c r="W39" s="99"/>
      <c r="X39" s="99"/>
      <c r="Y39" s="100">
        <f>IF($Y$38=0,0,$E$12*4%)</f>
        <v>432.72</v>
      </c>
      <c r="Z39" s="100">
        <f>IF($Z$38=0,0,$E$12*4%)</f>
        <v>432.72</v>
      </c>
      <c r="AA39" s="100">
        <f>IF($AA$38=0,0,$E$12*4%)</f>
        <v>432.72</v>
      </c>
      <c r="AB39" s="100">
        <f>IF($AB$38=0,0,$E$12*4%)</f>
        <v>432.72</v>
      </c>
      <c r="AD39" s="100">
        <f>IF($AD$38=0,0,$E$12*10%)</f>
        <v>1081.8</v>
      </c>
      <c r="AE39" s="100">
        <f>IF($AE$38=0,0,$E$12*10%)</f>
        <v>1081.8</v>
      </c>
      <c r="AF39" s="100">
        <f>IF($AF$38=0,0,$E$12*10%)</f>
        <v>1081.8</v>
      </c>
      <c r="AG39" s="100">
        <f>IF($AG$38=0,0,$E$12*10%)</f>
        <v>1081.8</v>
      </c>
    </row>
    <row r="40" spans="1:33" s="43" customFormat="1" ht="22.5" customHeight="1">
      <c r="A40" s="75"/>
      <c r="B40" s="83"/>
      <c r="C40" s="84"/>
      <c r="D40" s="657" t="str">
        <f aca="true" t="shared" si="3" ref="D40:D46">IF(S40&lt;12,"",(VLOOKUP(S40,$T$38:$V$46,3,0)))</f>
        <v>Add: Prem @ 1.793% on Non-Ele Accessories Value</v>
      </c>
      <c r="E40" s="657"/>
      <c r="F40" s="657"/>
      <c r="G40" s="657"/>
      <c r="H40" s="93" t="str">
        <f t="shared" si="1"/>
        <v>:</v>
      </c>
      <c r="I40" s="94">
        <f aca="true" t="shared" si="4" ref="I40:I46">IF(S40&lt;24,"",VLOOKUP(S40,$T$38:$V$46,2,0))</f>
        <v>193.96674000000002</v>
      </c>
      <c r="J40" s="84"/>
      <c r="K40" s="90"/>
      <c r="L40" s="39"/>
      <c r="M40" s="39"/>
      <c r="N40" s="39"/>
      <c r="O40" s="39"/>
      <c r="P40" s="39"/>
      <c r="Q40" s="95">
        <v>3</v>
      </c>
      <c r="R40" s="96">
        <f t="shared" si="2"/>
        <v>38</v>
      </c>
      <c r="S40" s="96">
        <f>LARGE($R$38:$R$46,ROWS(R$38:R40))</f>
        <v>38</v>
      </c>
      <c r="T40" s="96">
        <v>38</v>
      </c>
      <c r="U40" s="100">
        <f>IF(U38=0,0,IF(I4=R3,F12*T13%,IF(I4=R4,F12*T12%,0)))</f>
        <v>193.96674000000002</v>
      </c>
      <c r="V40" s="98" t="str">
        <f>IF(U40=0,"",CONCATENATE("Add: Prem @ ",(IF(I4=R3,T13,IF(I4=R4,T12,0))),"% on Non-Ele Accessories Value"))</f>
        <v>Add: Prem @ 1.793% on Non-Ele Accessories Value</v>
      </c>
      <c r="W40" s="99"/>
      <c r="X40" s="99"/>
      <c r="Y40" s="100">
        <f>IF($Y$38=0,0,$F$12*$T$12%)</f>
        <v>193.96674000000002</v>
      </c>
      <c r="Z40" s="100">
        <f>IF($Z$38=0,0,$F$12*$T$12%)</f>
        <v>193.96674000000002</v>
      </c>
      <c r="AA40" s="100">
        <f>IF($AA$38=0,0,$F$12*$T$12%)</f>
        <v>193.96674000000002</v>
      </c>
      <c r="AB40" s="100">
        <f>IF($AB$38=0,0,$F$12*$T$12%)</f>
        <v>193.96674000000002</v>
      </c>
      <c r="AD40" s="100">
        <f>IF($AD$38=0,0,$F$12*$T$13%)</f>
        <v>455.4378</v>
      </c>
      <c r="AE40" s="100">
        <f>IF($AE$38=0,0,$F$12*$T$13%)</f>
        <v>455.4378</v>
      </c>
      <c r="AF40" s="100">
        <f>IF($AF$38=0,0,$F$12*$T$13%)</f>
        <v>455.4378</v>
      </c>
      <c r="AG40" s="100">
        <f>IF($AG$38=0,0,$F$12*$T$13%)</f>
        <v>455.4378</v>
      </c>
    </row>
    <row r="41" spans="1:33" s="43" customFormat="1" ht="22.5" customHeight="1">
      <c r="A41" s="75"/>
      <c r="B41" s="83"/>
      <c r="C41" s="84"/>
      <c r="D41" s="657" t="str">
        <f t="shared" si="3"/>
        <v>Add: Nil/Zero Depreciation Cover @ 15% on OD Prem</v>
      </c>
      <c r="E41" s="657"/>
      <c r="F41" s="657"/>
      <c r="G41" s="657"/>
      <c r="H41" s="93" t="str">
        <f t="shared" si="1"/>
        <v>:</v>
      </c>
      <c r="I41" s="94">
        <f t="shared" si="4"/>
        <v>385</v>
      </c>
      <c r="J41" s="84"/>
      <c r="K41" s="90"/>
      <c r="L41" s="39"/>
      <c r="M41" s="39"/>
      <c r="N41" s="39"/>
      <c r="O41" s="39"/>
      <c r="P41" s="39"/>
      <c r="Q41" s="95">
        <v>4</v>
      </c>
      <c r="R41" s="96">
        <f t="shared" si="2"/>
        <v>37</v>
      </c>
      <c r="S41" s="96">
        <f>LARGE($R$38:$R$46,ROWS(R$38:R41))</f>
        <v>37</v>
      </c>
      <c r="T41" s="96">
        <v>37</v>
      </c>
      <c r="U41" s="100">
        <f>ROUND(IF(K12=1,IF(I4=R4,SUM($U$38:$U$40)*$R$12%,IF(I4=R3,(D12+F12)*$R$13%))),0)</f>
        <v>385</v>
      </c>
      <c r="V41" s="98" t="str">
        <f>IF(U41=0,"",(CONCATENATE("Add: Nil/Zero Depreciation Cover @ ",IF(I4=R4,R12,IF(I4=R3,R13,0)),IF(I4=R4,"% on OD Prem",IF(I4=R3,"% on IDV",0)))))</f>
        <v>Add: Nil/Zero Depreciation Cover @ 15% on OD Prem</v>
      </c>
      <c r="W41" s="99"/>
      <c r="X41" s="99"/>
      <c r="Y41" s="100">
        <f>ROUND(SUM($Y$38:$Y$40)*$R$12%,0)</f>
        <v>385</v>
      </c>
      <c r="Z41" s="100"/>
      <c r="AA41" s="100">
        <f>ROUND(SUM($AA$38:$AA$40)*$R$12%,0)</f>
        <v>385</v>
      </c>
      <c r="AB41" s="100"/>
      <c r="AD41" s="100">
        <f>IF(AD38=0,0,ROUND((D12+F12)*1.8%,0))</f>
        <v>2141</v>
      </c>
      <c r="AE41" s="100"/>
      <c r="AF41" s="100">
        <f>IF(AF38=0,0,ROUND((D12+F12)*1.8%,0))</f>
        <v>2141</v>
      </c>
      <c r="AG41" s="100"/>
    </row>
    <row r="42" spans="1:33" s="43" customFormat="1" ht="22.5" customHeight="1">
      <c r="A42" s="75"/>
      <c r="B42" s="83"/>
      <c r="C42" s="84"/>
      <c r="D42" s="657" t="str">
        <f t="shared" si="3"/>
        <v>    # Less: Discount on NDP Prem @ 30%</v>
      </c>
      <c r="E42" s="657"/>
      <c r="F42" s="657"/>
      <c r="G42" s="657"/>
      <c r="H42" s="93" t="str">
        <f t="shared" si="1"/>
        <v>:</v>
      </c>
      <c r="I42" s="94">
        <f t="shared" si="4"/>
        <v>-116</v>
      </c>
      <c r="J42" s="84"/>
      <c r="K42" s="90"/>
      <c r="L42" s="39"/>
      <c r="M42" s="39"/>
      <c r="N42" s="39"/>
      <c r="O42" s="39"/>
      <c r="P42" s="39"/>
      <c r="Q42" s="95">
        <v>5</v>
      </c>
      <c r="R42" s="96">
        <f t="shared" si="2"/>
        <v>36</v>
      </c>
      <c r="S42" s="96">
        <f>LARGE($R$38:$R$46,ROWS(R$38:R42))</f>
        <v>36</v>
      </c>
      <c r="T42" s="96">
        <v>36</v>
      </c>
      <c r="U42" s="100">
        <f>-ROUND(IF(I4=R3,0,U41*G12%),0)</f>
        <v>-116</v>
      </c>
      <c r="V42" s="98" t="str">
        <f>IF(U42=0,"",(CONCATENATE("    # Less: Discount on NDP Prem @ ",G12,"%")))</f>
        <v>    # Less: Discount on NDP Prem @ 30%</v>
      </c>
      <c r="W42" s="99"/>
      <c r="X42" s="99"/>
      <c r="Y42" s="100">
        <f>-ROUND(Y41*G12%,0)</f>
        <v>-116</v>
      </c>
      <c r="Z42" s="100"/>
      <c r="AA42" s="100">
        <f>-ROUND(AA41*G12%,0)</f>
        <v>-116</v>
      </c>
      <c r="AB42" s="100"/>
      <c r="AD42" s="100"/>
      <c r="AE42" s="100"/>
      <c r="AF42" s="100"/>
      <c r="AG42" s="100"/>
    </row>
    <row r="43" spans="1:33" s="43" customFormat="1" ht="22.5" customHeight="1">
      <c r="A43" s="75"/>
      <c r="B43" s="83"/>
      <c r="C43" s="84"/>
      <c r="D43" s="657" t="str">
        <f t="shared" si="3"/>
        <v>Add: Return to Invoice Cover @ 0.3% on OD Prem</v>
      </c>
      <c r="E43" s="657"/>
      <c r="F43" s="657"/>
      <c r="G43" s="657"/>
      <c r="H43" s="93" t="str">
        <f t="shared" si="1"/>
        <v>:</v>
      </c>
      <c r="I43" s="94">
        <f t="shared" si="4"/>
        <v>357</v>
      </c>
      <c r="J43" s="84"/>
      <c r="K43" s="90"/>
      <c r="L43" s="39"/>
      <c r="M43" s="39"/>
      <c r="N43" s="39"/>
      <c r="O43" s="39"/>
      <c r="P43" s="39"/>
      <c r="Q43" s="95">
        <v>6</v>
      </c>
      <c r="R43" s="96">
        <f t="shared" si="2"/>
        <v>35</v>
      </c>
      <c r="S43" s="96">
        <f>LARGE($R$38:$R$46,ROWS(R$38:R43))</f>
        <v>35</v>
      </c>
      <c r="T43" s="96">
        <v>35</v>
      </c>
      <c r="U43" s="100">
        <f>ROUND(IF(K13=1,IF(I4=R4,($D$12+$F$12)*S12%,IF(I4=R3,(D12+F12)*$S$13%))),0)</f>
        <v>357</v>
      </c>
      <c r="V43" s="98" t="str">
        <f>IF(U43=0,"",(CONCATENATE("Add: Return to Invoice Cover @ ",IF(I4=R4,S12,IF(I4=R3,S13,0)),IF(I4=R4,"% on OD Prem",IF(I4=R3,"% on IDV",0)))))</f>
        <v>Add: Return to Invoice Cover @ 0.3% on OD Prem</v>
      </c>
      <c r="W43" s="99"/>
      <c r="X43" s="99"/>
      <c r="Y43" s="100">
        <f>ROUND(($D$12+$F$12)*S12%,0)</f>
        <v>357</v>
      </c>
      <c r="Z43" s="100">
        <f>ROUND(($D$12+$F$12)*S12%,0)</f>
        <v>357</v>
      </c>
      <c r="AA43" s="100"/>
      <c r="AB43" s="100"/>
      <c r="AD43" s="100">
        <f>ROUND(($D$12+$F$12)*S13%,0)</f>
        <v>1677</v>
      </c>
      <c r="AE43" s="100">
        <f>ROUND(($D$12+$F$12)*S13%,0)</f>
        <v>1677</v>
      </c>
      <c r="AF43" s="100"/>
      <c r="AG43" s="100"/>
    </row>
    <row r="44" spans="1:33" s="43" customFormat="1" ht="22.5" customHeight="1">
      <c r="A44" s="75"/>
      <c r="B44" s="83"/>
      <c r="C44" s="84"/>
      <c r="D44" s="657" t="str">
        <f t="shared" si="3"/>
        <v>    # Less: Discount on RTI Prem 35%</v>
      </c>
      <c r="E44" s="657"/>
      <c r="F44" s="657"/>
      <c r="G44" s="657"/>
      <c r="H44" s="93" t="str">
        <f t="shared" si="1"/>
        <v>:</v>
      </c>
      <c r="I44" s="94">
        <f t="shared" si="4"/>
        <v>-125</v>
      </c>
      <c r="J44" s="84"/>
      <c r="K44" s="90"/>
      <c r="L44" s="39"/>
      <c r="M44" s="39"/>
      <c r="N44" s="39"/>
      <c r="O44" s="39"/>
      <c r="P44" s="39"/>
      <c r="Q44" s="95">
        <v>7</v>
      </c>
      <c r="R44" s="96">
        <f t="shared" si="2"/>
        <v>34</v>
      </c>
      <c r="S44" s="96">
        <f>LARGE($R$38:$R$46,ROWS(R$38:R44))</f>
        <v>34</v>
      </c>
      <c r="T44" s="96">
        <v>34</v>
      </c>
      <c r="U44" s="100">
        <f>-ROUND(IF(I4=R3,0,U43*I12%),0)</f>
        <v>-125</v>
      </c>
      <c r="V44" s="98" t="str">
        <f>IF(U44=0,"",(CONCATENATE("    # Less: Discount on RTI Prem ",I12,"%")))</f>
        <v>    # Less: Discount on RTI Prem 35%</v>
      </c>
      <c r="W44" s="99"/>
      <c r="X44" s="99"/>
      <c r="Y44" s="100">
        <f>-ROUND(SUM($Y$38:$Y$40)*$I$16%,0)</f>
        <v>-770</v>
      </c>
      <c r="Z44" s="100">
        <f>-ROUND(SUM($Z$38:$Z$40)*$I$16%,0)</f>
        <v>-770</v>
      </c>
      <c r="AA44" s="100">
        <f>-ROUND(SUM($AA$38:$AA$40)*$I$16%,0)</f>
        <v>-770</v>
      </c>
      <c r="AB44" s="100">
        <f>-ROUND(SUM($AB$38:$AB$40)*$I$16%,0)</f>
        <v>-770</v>
      </c>
      <c r="AD44" s="100">
        <f>-ROUND(SUM($AD$38:$AD$40)*$I$16%,0)</f>
        <v>-1827</v>
      </c>
      <c r="AE44" s="100">
        <f>-ROUND(SUM($AE$38:$AE$40)*$I$16%,0)</f>
        <v>-1827</v>
      </c>
      <c r="AF44" s="100">
        <f>-ROUND(SUM($AF$38:$AF$40)*$I$16%,0)</f>
        <v>-1827</v>
      </c>
      <c r="AG44" s="100">
        <f>-ROUND(SUM($AG$38:$AG$40)*$I$16%,0)</f>
        <v>-1827</v>
      </c>
    </row>
    <row r="45" spans="1:33" s="43" customFormat="1" ht="22.5" customHeight="1">
      <c r="A45" s="75"/>
      <c r="B45" s="83"/>
      <c r="C45" s="84"/>
      <c r="D45" s="657" t="str">
        <f t="shared" si="3"/>
        <v>Less: Underwritier's (De-Tariff) Discount @ 30%</v>
      </c>
      <c r="E45" s="657"/>
      <c r="F45" s="657"/>
      <c r="G45" s="657"/>
      <c r="H45" s="93" t="str">
        <f t="shared" si="1"/>
        <v>:</v>
      </c>
      <c r="I45" s="94">
        <f t="shared" si="4"/>
        <v>-770</v>
      </c>
      <c r="J45" s="84"/>
      <c r="K45" s="90"/>
      <c r="L45" s="39"/>
      <c r="M45" s="39"/>
      <c r="N45" s="103"/>
      <c r="O45" s="39"/>
      <c r="P45" s="39"/>
      <c r="Q45" s="95">
        <v>8</v>
      </c>
      <c r="R45" s="96">
        <f t="shared" si="2"/>
        <v>33</v>
      </c>
      <c r="S45" s="96">
        <f>LARGE($R$38:$R$46,ROWS(R$38:R45))</f>
        <v>33</v>
      </c>
      <c r="T45" s="96">
        <v>33</v>
      </c>
      <c r="U45" s="100">
        <f>-ROUND(SUM(U38:U40)*I16%,0)</f>
        <v>-770</v>
      </c>
      <c r="V45" s="98" t="str">
        <f>IF(U45=0,"",(CONCATENATE("Less: Underwritier's (De-Tariff) Discount @ ",I16,"%")))</f>
        <v>Less: Underwritier's (De-Tariff) Discount @ 30%</v>
      </c>
      <c r="W45" s="99"/>
      <c r="X45" s="99"/>
      <c r="Y45" s="100">
        <f>-ROUND(Y43*I12%,0)</f>
        <v>-125</v>
      </c>
      <c r="Z45" s="100">
        <f>-ROUND(Z43*I12%,0)</f>
        <v>-125</v>
      </c>
      <c r="AA45" s="100">
        <f>-ROUND(($AA$41+$AA$43)*$R$19%,0)</f>
        <v>0</v>
      </c>
      <c r="AB45" s="100"/>
      <c r="AD45" s="100">
        <f>-ROUND(($AD$41+$AD$43)*$R$19%,0)</f>
        <v>0</v>
      </c>
      <c r="AE45" s="100">
        <f>-ROUND(($AE$41+$AE$43)*$R$19%,0)</f>
        <v>0</v>
      </c>
      <c r="AF45" s="100">
        <f>-ROUND(($AF$41+$AF$43)*$R$19%,0)</f>
        <v>0</v>
      </c>
      <c r="AG45" s="100"/>
    </row>
    <row r="46" spans="1:33" s="43" customFormat="1" ht="22.5" customHeight="1">
      <c r="A46" s="75"/>
      <c r="B46" s="83"/>
      <c r="C46" s="84"/>
      <c r="D46" s="657" t="str">
        <f t="shared" si="3"/>
        <v>Less: No Claim Bonus @ 20% (Subject to No Claim)</v>
      </c>
      <c r="E46" s="657"/>
      <c r="F46" s="657"/>
      <c r="G46" s="657"/>
      <c r="H46" s="93" t="str">
        <f t="shared" si="1"/>
        <v>:</v>
      </c>
      <c r="I46" s="94">
        <f t="shared" si="4"/>
        <v>-387.81</v>
      </c>
      <c r="J46" s="84"/>
      <c r="K46" s="90"/>
      <c r="L46" s="39"/>
      <c r="M46" s="39"/>
      <c r="N46" s="103"/>
      <c r="O46" s="39"/>
      <c r="P46" s="39"/>
      <c r="Q46" s="95">
        <v>9</v>
      </c>
      <c r="R46" s="96">
        <f t="shared" si="2"/>
        <v>32</v>
      </c>
      <c r="S46" s="96">
        <f>LARGE($R$38:$R$46,ROWS(R$38:R46))</f>
        <v>32</v>
      </c>
      <c r="T46" s="96">
        <v>32</v>
      </c>
      <c r="U46" s="100">
        <f>-ROUND(IF(I4=R4,SUM($U$38:$U$45,-$U$43)*$G$16%,SUM(U38:U40)*G16%),2)</f>
        <v>-387.81</v>
      </c>
      <c r="V46" s="98" t="str">
        <f>IF(U46=0,"",(CONCATENATE("Less: No Claim Bonus @ ",G16,"% (Subject to No Claim)")))</f>
        <v>Less: No Claim Bonus @ 20% (Subject to No Claim)</v>
      </c>
      <c r="W46" s="99"/>
      <c r="X46" s="99"/>
      <c r="Y46" s="100">
        <f>-ROUND((SUM($Y$38:$Y$45,-$Y$43)*$G$16%),2)</f>
        <v>-387.81</v>
      </c>
      <c r="Z46" s="100">
        <f>-ROUND((SUM($Z$38:$Z$45,-$Z$43)*$G$16%),2)</f>
        <v>-334.01</v>
      </c>
      <c r="AA46" s="100">
        <f>-ROUND((SUM(AA38:AA44)*$G$16%),2)</f>
        <v>-412.81</v>
      </c>
      <c r="AB46" s="100">
        <f>-ROUND((SUM($AB$38:$AB$44)*$G$16%),2)</f>
        <v>-359.01</v>
      </c>
      <c r="AD46" s="100">
        <f>-ROUND((SUM($AD$38:$AD$40)*$G$16%),2)</f>
        <v>-1217.72</v>
      </c>
      <c r="AE46" s="100">
        <f>-ROUND((SUM($AE$38:$AE$40)*$G$16%),2)</f>
        <v>-1217.72</v>
      </c>
      <c r="AF46" s="100">
        <f>-ROUND((SUM($AF$38:$AF$40)*$G$16%),2)</f>
        <v>-1217.72</v>
      </c>
      <c r="AG46" s="100">
        <f>-ROUND((SUM($AG$38:$AG$40)*$G$16%),2)</f>
        <v>-1217.72</v>
      </c>
    </row>
    <row r="47" spans="1:33" s="43" customFormat="1" ht="18.75" customHeight="1">
      <c r="A47" s="75"/>
      <c r="B47" s="83"/>
      <c r="C47" s="84"/>
      <c r="D47" s="658" t="s">
        <v>466</v>
      </c>
      <c r="E47" s="658"/>
      <c r="F47" s="658"/>
      <c r="G47" s="658"/>
      <c r="H47" s="101" t="s">
        <v>106</v>
      </c>
      <c r="I47" s="102">
        <f>U47</f>
        <v>1908</v>
      </c>
      <c r="J47" s="84"/>
      <c r="K47" s="90"/>
      <c r="L47" s="39"/>
      <c r="M47" s="39"/>
      <c r="N47" s="103">
        <f>ROUND(I47*17.5%,0)</f>
        <v>334</v>
      </c>
      <c r="O47" s="39"/>
      <c r="P47" s="39"/>
      <c r="Q47" s="95"/>
      <c r="R47" s="96"/>
      <c r="S47" s="96"/>
      <c r="T47" s="96">
        <v>31</v>
      </c>
      <c r="U47" s="100">
        <f>ROUND(IF(U38=0,0,IF(D12=0,0,(MAX((SUM(U38:U46)),100)))),0)</f>
        <v>1908</v>
      </c>
      <c r="V47" s="86"/>
      <c r="W47" s="87"/>
      <c r="X47" s="86"/>
      <c r="Y47" s="100">
        <f>ROUND(IF($Y$38=0,0,IF($D$12=0,0,(MAX((SUM($Y$38:$Y$46)),100)))),0)</f>
        <v>1908</v>
      </c>
      <c r="Z47" s="100">
        <f>ROUND(IF($Z$38=0,0,IF($D$12=0,0,(MAX((SUM($Z$38:$Z$46)),100)))),0)</f>
        <v>1693</v>
      </c>
      <c r="AA47" s="100">
        <f>ROUND(IF($AA$38=0,0,IF($D$12=0,0,(MAX((SUM($AA$38:$AA$46)),100)))),0)</f>
        <v>1651</v>
      </c>
      <c r="AB47" s="100">
        <f>ROUND(IF($AB$38=0,0,IF($D$12=0,0,(MAX((SUM($AB$38:$AB$46)),100)))),0)</f>
        <v>1436</v>
      </c>
      <c r="AD47" s="100">
        <f>ROUND(IF($AD$38=0,0,IF($D$12=0,0,(MAX((SUM($AD$38:$AD$46)),100)))),0)</f>
        <v>6862</v>
      </c>
      <c r="AE47" s="100">
        <f>ROUND(IF($AE$38=0,0,IF($D$12=0,0,(MAX((SUM($AE$38:$AE$46)),100)))),0)</f>
        <v>4721</v>
      </c>
      <c r="AF47" s="100">
        <f>ROUND(IF($AF$38=0,0,IF($D$12=0,0,(MAX((SUM($AF$38:$AF$46)),100)))),0)</f>
        <v>5185</v>
      </c>
      <c r="AG47" s="100">
        <f>ROUND(IF($AG$38=0,0,IF($D$12=0,0,(MAX((SUM($AG$38:$AG$46)),100)))),0)</f>
        <v>3044</v>
      </c>
    </row>
    <row r="48" spans="1:35" s="43" customFormat="1" ht="22.5" customHeight="1">
      <c r="A48" s="75"/>
      <c r="B48" s="83"/>
      <c r="C48" s="84"/>
      <c r="D48" s="657" t="str">
        <f>IF(S48&lt;12,"",(VLOOKUP(S48,$T$48:$V$51,3,0)))</f>
        <v>Basic Third Party Premium</v>
      </c>
      <c r="E48" s="657"/>
      <c r="F48" s="657"/>
      <c r="G48" s="657"/>
      <c r="H48" s="93" t="str">
        <f>IF(D48="","",":")</f>
        <v>:</v>
      </c>
      <c r="I48" s="94">
        <f>IF(S48&lt;24,"",VLOOKUP(S48,$T$48:$V$51,2,0))</f>
        <v>5453</v>
      </c>
      <c r="J48" s="84"/>
      <c r="K48" s="90"/>
      <c r="L48" s="39"/>
      <c r="M48" s="39"/>
      <c r="N48" s="103">
        <v>0</v>
      </c>
      <c r="O48" s="39"/>
      <c r="P48" s="39"/>
      <c r="Q48" s="95">
        <v>1</v>
      </c>
      <c r="R48" s="96">
        <f>IF(U48=0,Q48,T48)</f>
        <v>30</v>
      </c>
      <c r="S48" s="96">
        <f>LARGE($R$48:$R$51,ROWS(R$48:R48))</f>
        <v>30</v>
      </c>
      <c r="T48" s="96">
        <v>30</v>
      </c>
      <c r="U48" s="100">
        <f>U12</f>
        <v>5453</v>
      </c>
      <c r="V48" s="98" t="s">
        <v>116</v>
      </c>
      <c r="W48" s="99"/>
      <c r="X48" s="99"/>
      <c r="Y48" s="100">
        <f>$U$12</f>
        <v>5453</v>
      </c>
      <c r="Z48" s="100">
        <f>$U$12</f>
        <v>5453</v>
      </c>
      <c r="AA48" s="100">
        <f>$U$12</f>
        <v>5453</v>
      </c>
      <c r="AB48" s="100">
        <f>$U$12</f>
        <v>5453</v>
      </c>
      <c r="AD48" s="100">
        <f>$U$12</f>
        <v>5453</v>
      </c>
      <c r="AE48" s="100">
        <f>$U$12</f>
        <v>5453</v>
      </c>
      <c r="AF48" s="100">
        <f>$U$12</f>
        <v>5453</v>
      </c>
      <c r="AG48" s="100">
        <f>$U$12</f>
        <v>5453</v>
      </c>
      <c r="AI48" s="100">
        <f>$U$12</f>
        <v>5453</v>
      </c>
    </row>
    <row r="49" spans="1:35" s="43" customFormat="1" ht="22.5" customHeight="1">
      <c r="A49" s="75"/>
      <c r="B49" s="83"/>
      <c r="C49" s="84"/>
      <c r="D49" s="657" t="str">
        <f>IF(S49&lt;12,"",(VLOOKUP(S49,$T$48:$V$51,3,0)))</f>
        <v>Add: Owner Driver Compulsory PA @ 15,00,000</v>
      </c>
      <c r="E49" s="657"/>
      <c r="F49" s="657"/>
      <c r="G49" s="657"/>
      <c r="H49" s="93" t="str">
        <f>IF(D49="","",":")</f>
        <v>:</v>
      </c>
      <c r="I49" s="94">
        <f>IF(S49&lt;24,"",VLOOKUP(S49,$T$48:$V$51,2,0))</f>
        <v>1420</v>
      </c>
      <c r="J49" s="84"/>
      <c r="K49" s="90"/>
      <c r="L49" s="39"/>
      <c r="M49" s="39"/>
      <c r="N49" s="103"/>
      <c r="O49" s="39"/>
      <c r="P49" s="39"/>
      <c r="Q49" s="95">
        <v>2</v>
      </c>
      <c r="R49" s="96">
        <f>IF(U49=0,Q49,T49)</f>
        <v>29</v>
      </c>
      <c r="S49" s="96">
        <f>LARGE($R$48:$R$51,ROWS(R$48:R49))</f>
        <v>29</v>
      </c>
      <c r="T49" s="96">
        <v>29</v>
      </c>
      <c r="U49" s="100">
        <f>IF($D$16=$W$10,320,IF($D$16=$W$12,0,1420))</f>
        <v>1420</v>
      </c>
      <c r="V49" s="98" t="str">
        <f>IF(U49=0,"","Add: Owner Driver Compulsory PA @ 15,00,000")</f>
        <v>Add: Owner Driver Compulsory PA @ 15,00,000</v>
      </c>
      <c r="W49" s="99"/>
      <c r="X49" s="99"/>
      <c r="Y49" s="100">
        <f>IF($D$16=$W$10,320,IF($D$16=$W$12,0,1420))</f>
        <v>1420</v>
      </c>
      <c r="Z49" s="100">
        <f>IF($D$16=$W$10,320,IF($D$16=$W$12,0,1420))</f>
        <v>1420</v>
      </c>
      <c r="AA49" s="100">
        <f>IF($D$16=$W$10,320,IF($D$16=$W$12,0,1420))</f>
        <v>1420</v>
      </c>
      <c r="AB49" s="100">
        <f>IF($D$16=$W$10,320,IF($D$16=$W$12,0,1420))</f>
        <v>1420</v>
      </c>
      <c r="AD49" s="100">
        <f>IF($D$16=$W$10,320,IF($D$16=$W$12,0,1420))</f>
        <v>1420</v>
      </c>
      <c r="AE49" s="100">
        <f>IF($D$16=$W$10,320,IF($D$16=$W$12,0,1420))</f>
        <v>1420</v>
      </c>
      <c r="AF49" s="100">
        <f>IF($D$16=$W$10,320,IF($D$16=$W$12,0,1420))</f>
        <v>1420</v>
      </c>
      <c r="AG49" s="100">
        <f>IF($D$16=$W$10,320,IF($D$16=$W$12,0,1420))</f>
        <v>1420</v>
      </c>
      <c r="AI49" s="100">
        <f>IF($D$16=$W$10,320,IF($D$16=$W$12,0,1420))</f>
        <v>1420</v>
      </c>
    </row>
    <row r="50" spans="1:35" s="43" customFormat="1" ht="22.5" customHeight="1">
      <c r="A50" s="75"/>
      <c r="B50" s="83"/>
      <c r="C50" s="84"/>
      <c r="D50" s="657" t="str">
        <f>IF(S50&lt;12,"",(VLOOKUP(S50,$T$48:$V$51,3,0)))</f>
        <v>Less: Prem on Limiting TPPD upto Rs.6000/-</v>
      </c>
      <c r="E50" s="657"/>
      <c r="F50" s="657"/>
      <c r="G50" s="657"/>
      <c r="H50" s="93" t="str">
        <f>IF(D50="","",":")</f>
        <v>:</v>
      </c>
      <c r="I50" s="94">
        <f>IF(S50&lt;24,"",VLOOKUP(S50,$T$48:$V$51,2,0))</f>
        <v>-250</v>
      </c>
      <c r="J50" s="84"/>
      <c r="K50" s="90"/>
      <c r="L50" s="39"/>
      <c r="M50" s="39"/>
      <c r="N50" s="103"/>
      <c r="O50" s="39"/>
      <c r="P50" s="39"/>
      <c r="Q50" s="95">
        <v>3</v>
      </c>
      <c r="R50" s="96">
        <f>IF(U50=0,Q50,T50)</f>
        <v>28</v>
      </c>
      <c r="S50" s="96">
        <f>LARGE($R$48:$R$51,ROWS(R$48:R50))</f>
        <v>28</v>
      </c>
      <c r="T50" s="96">
        <v>28</v>
      </c>
      <c r="U50" s="100">
        <f>-IF(K18=1,250,0)</f>
        <v>-250</v>
      </c>
      <c r="V50" s="98" t="str">
        <f>IF(U50=0,"","Less: Prem on Limiting TPPD upto Rs.6000/-")</f>
        <v>Less: Prem on Limiting TPPD upto Rs.6000/-</v>
      </c>
      <c r="W50" s="99"/>
      <c r="X50" s="99"/>
      <c r="Y50" s="100">
        <f>-IF($K$18=1,250,0)</f>
        <v>-250</v>
      </c>
      <c r="Z50" s="100">
        <f>-IF($K$18=1,250,0)</f>
        <v>-250</v>
      </c>
      <c r="AA50" s="100">
        <f>-IF($K$18=1,250,0)</f>
        <v>-250</v>
      </c>
      <c r="AB50" s="100">
        <f>-IF($K$18=1,250,0)</f>
        <v>-250</v>
      </c>
      <c r="AD50" s="100">
        <f>-IF($K$18=1,250,0)</f>
        <v>-250</v>
      </c>
      <c r="AE50" s="100">
        <f>-IF($K$18=1,250,0)</f>
        <v>-250</v>
      </c>
      <c r="AF50" s="100">
        <f>-IF($K$18=1,250,0)</f>
        <v>-250</v>
      </c>
      <c r="AG50" s="100">
        <f>-IF($K$18=1,250,0)</f>
        <v>-250</v>
      </c>
      <c r="AI50" s="100">
        <f>-IF($K$18=1,250,0)</f>
        <v>-250</v>
      </c>
    </row>
    <row r="51" spans="1:35" s="43" customFormat="1" ht="22.5" customHeight="1">
      <c r="A51" s="75"/>
      <c r="B51" s="83"/>
      <c r="C51" s="84"/>
      <c r="D51" s="657" t="str">
        <f>IF(S51&lt;12,"",(VLOOKUP(S51,$T$48:$V$51,3,0)))</f>
        <v>Add: PA Cover @ Rs.60000/- to Pillion Rider</v>
      </c>
      <c r="E51" s="657"/>
      <c r="F51" s="657"/>
      <c r="G51" s="657"/>
      <c r="H51" s="93" t="str">
        <f>IF(D51="","",":")</f>
        <v>:</v>
      </c>
      <c r="I51" s="94">
        <f>IF(S51&lt;24,"",VLOOKUP(S51,$T$48:$V$51,2,0))</f>
        <v>210</v>
      </c>
      <c r="J51" s="84"/>
      <c r="K51" s="90"/>
      <c r="L51" s="39"/>
      <c r="M51" s="39"/>
      <c r="N51" s="39"/>
      <c r="O51" s="39"/>
      <c r="P51" s="39"/>
      <c r="Q51" s="95">
        <v>4</v>
      </c>
      <c r="R51" s="96">
        <f>IF(U51=0,Q51,T51)</f>
        <v>27</v>
      </c>
      <c r="S51" s="96">
        <f>LARGE($R$48:$R$51,ROWS(R$48:R51))</f>
        <v>27</v>
      </c>
      <c r="T51" s="96">
        <v>27</v>
      </c>
      <c r="U51" s="100">
        <f>(F16/1000*0.7*5)</f>
        <v>210</v>
      </c>
      <c r="V51" s="98" t="str">
        <f>IF(U51=0,"",CONCATENATE("Add: PA Cover @ Rs.",F16,"/-"," to Pillion Rider"))</f>
        <v>Add: PA Cover @ Rs.60000/- to Pillion Rider</v>
      </c>
      <c r="W51" s="99"/>
      <c r="X51" s="99"/>
      <c r="Y51" s="100">
        <f>($F$16/1000*0.7*5)</f>
        <v>210</v>
      </c>
      <c r="Z51" s="100">
        <f>($F$16/1000*0.7*5)</f>
        <v>210</v>
      </c>
      <c r="AA51" s="100">
        <f>($F$16/1000*0.7*5)</f>
        <v>210</v>
      </c>
      <c r="AB51" s="100">
        <f>($F$16/1000*0.7*5)</f>
        <v>210</v>
      </c>
      <c r="AD51" s="100">
        <f>($F$16/1000*0.7*5)</f>
        <v>210</v>
      </c>
      <c r="AE51" s="100">
        <f>($F$16/1000*0.7*5)</f>
        <v>210</v>
      </c>
      <c r="AF51" s="100">
        <f>($F$16/1000*0.7*5)</f>
        <v>210</v>
      </c>
      <c r="AG51" s="100">
        <f>($F$16/1000*0.7*5)</f>
        <v>210</v>
      </c>
      <c r="AI51" s="100">
        <f>($F$16/1000*0.7*5)</f>
        <v>210</v>
      </c>
    </row>
    <row r="52" spans="1:35" s="43" customFormat="1" ht="18.75" customHeight="1">
      <c r="A52" s="75"/>
      <c r="B52" s="83"/>
      <c r="C52" s="84"/>
      <c r="D52" s="658" t="s">
        <v>379</v>
      </c>
      <c r="E52" s="658"/>
      <c r="F52" s="658"/>
      <c r="G52" s="658"/>
      <c r="H52" s="101" t="s">
        <v>106</v>
      </c>
      <c r="I52" s="102">
        <f>U52</f>
        <v>6833</v>
      </c>
      <c r="J52" s="84"/>
      <c r="K52" s="90"/>
      <c r="L52" s="39"/>
      <c r="M52" s="39"/>
      <c r="N52" s="39"/>
      <c r="O52" s="39"/>
      <c r="P52" s="39"/>
      <c r="Q52" s="103"/>
      <c r="R52" s="104"/>
      <c r="S52" s="104"/>
      <c r="T52" s="104"/>
      <c r="U52" s="105">
        <f>ROUND(SUM(U48:U51),0)</f>
        <v>6833</v>
      </c>
      <c r="V52" s="74"/>
      <c r="W52" s="87"/>
      <c r="X52" s="86"/>
      <c r="Y52" s="105">
        <f>ROUND(SUM($Y$48:$Y$51),0)</f>
        <v>6833</v>
      </c>
      <c r="Z52" s="105">
        <f>ROUND(SUM($Z$48:$Z$51),0)</f>
        <v>6833</v>
      </c>
      <c r="AA52" s="105">
        <f>ROUND(SUM($AA$48:$AA$51),0)</f>
        <v>6833</v>
      </c>
      <c r="AB52" s="105">
        <f>ROUND(SUM($AB$48:$AB$51),0)</f>
        <v>6833</v>
      </c>
      <c r="AD52" s="105">
        <f>ROUND(SUM($AD$48:$AD$51),0)</f>
        <v>6833</v>
      </c>
      <c r="AE52" s="105">
        <f>ROUND(SUM($AE$48:$AE$51),0)</f>
        <v>6833</v>
      </c>
      <c r="AF52" s="105">
        <f>ROUND(SUM($AF$48:$AF$51),0)</f>
        <v>6833</v>
      </c>
      <c r="AG52" s="105">
        <f>ROUND(SUM($AG$48:$AG$51),0)</f>
        <v>6833</v>
      </c>
      <c r="AI52" s="105">
        <f>ROUND(SUM($AI$48:$AI$51),0)</f>
        <v>6833</v>
      </c>
    </row>
    <row r="53" spans="1:35" s="43" customFormat="1" ht="22.5" customHeight="1">
      <c r="A53" s="75"/>
      <c r="B53" s="83"/>
      <c r="C53" s="84"/>
      <c r="D53" s="662" t="s">
        <v>380</v>
      </c>
      <c r="E53" s="662"/>
      <c r="F53" s="662"/>
      <c r="G53" s="662"/>
      <c r="H53" s="93" t="s">
        <v>106</v>
      </c>
      <c r="I53" s="106">
        <f>SUM(I52,I47)</f>
        <v>8741</v>
      </c>
      <c r="J53" s="84"/>
      <c r="K53" s="90"/>
      <c r="L53" s="39"/>
      <c r="M53" s="39"/>
      <c r="N53" s="39"/>
      <c r="O53" s="39"/>
      <c r="P53" s="39"/>
      <c r="Q53" s="103"/>
      <c r="R53" s="104"/>
      <c r="S53" s="104"/>
      <c r="T53" s="104"/>
      <c r="U53" s="100">
        <f>SUM(U52,U47)</f>
        <v>8741</v>
      </c>
      <c r="V53" s="74"/>
      <c r="W53" s="87"/>
      <c r="X53" s="86"/>
      <c r="Y53" s="100">
        <f>SUM($Y$52,$Y$47)</f>
        <v>8741</v>
      </c>
      <c r="Z53" s="100">
        <f>SUM($Z$52,$Z$47)</f>
        <v>8526</v>
      </c>
      <c r="AA53" s="100">
        <f>SUM($AA$52,$AA$47)</f>
        <v>8484</v>
      </c>
      <c r="AB53" s="100">
        <f>SUM($AB$52,$AB$47)</f>
        <v>8269</v>
      </c>
      <c r="AD53" s="100">
        <f>SUM($AD$52,$AD$47)</f>
        <v>13695</v>
      </c>
      <c r="AE53" s="100">
        <f>SUM($AE$52,$AE$47)</f>
        <v>11554</v>
      </c>
      <c r="AF53" s="100">
        <f>SUM($AF$52,$AF$47)</f>
        <v>12018</v>
      </c>
      <c r="AG53" s="100">
        <f>SUM($AG$52,$AG$47)</f>
        <v>9877</v>
      </c>
      <c r="AI53" s="100">
        <f>AI52</f>
        <v>6833</v>
      </c>
    </row>
    <row r="54" spans="1:35" s="43" customFormat="1" ht="22.5" customHeight="1">
      <c r="A54" s="75"/>
      <c r="B54" s="83"/>
      <c r="C54" s="84"/>
      <c r="D54" s="662" t="str">
        <f>CONCATENATE("Add: GST (Goods and Services Tax) @ ",Sign!$F$15,"%")</f>
        <v>Add: GST (Goods and Services Tax) @ 18%</v>
      </c>
      <c r="E54" s="662"/>
      <c r="F54" s="662"/>
      <c r="G54" s="662"/>
      <c r="H54" s="93" t="s">
        <v>106</v>
      </c>
      <c r="I54" s="106">
        <f>U54</f>
        <v>1574</v>
      </c>
      <c r="J54" s="84"/>
      <c r="K54" s="90"/>
      <c r="L54" s="39"/>
      <c r="M54" s="39"/>
      <c r="N54" s="39"/>
      <c r="O54" s="39"/>
      <c r="P54" s="39"/>
      <c r="Q54" s="103"/>
      <c r="R54" s="104"/>
      <c r="S54" s="104"/>
      <c r="T54" s="104"/>
      <c r="U54" s="100">
        <f>SUM(U58:U60)</f>
        <v>1574</v>
      </c>
      <c r="V54" s="74"/>
      <c r="W54" s="87"/>
      <c r="X54" s="86"/>
      <c r="Y54" s="100">
        <f>SUM(Y58:Y60)</f>
        <v>1574</v>
      </c>
      <c r="Z54" s="100">
        <f>SUM(Z58:Z60)</f>
        <v>1534</v>
      </c>
      <c r="AA54" s="100">
        <f>SUM(AA58:AA60)</f>
        <v>1528</v>
      </c>
      <c r="AB54" s="100">
        <f>SUM(AB58:AB60)</f>
        <v>1488</v>
      </c>
      <c r="AD54" s="100">
        <f>SUM(AD58:AD60)</f>
        <v>2466</v>
      </c>
      <c r="AE54" s="100">
        <f>SUM(AE58:AE60)</f>
        <v>2080</v>
      </c>
      <c r="AF54" s="100">
        <f>SUM(AF58:AF60)</f>
        <v>2164</v>
      </c>
      <c r="AG54" s="100">
        <f>SUM(AG58:AG60)</f>
        <v>1778</v>
      </c>
      <c r="AI54" s="100">
        <f>SUM(AI58:AI60)</f>
        <v>1230</v>
      </c>
    </row>
    <row r="55" spans="1:35" s="43" customFormat="1" ht="18.75" customHeight="1">
      <c r="A55" s="75"/>
      <c r="B55" s="83"/>
      <c r="C55" s="84"/>
      <c r="D55" s="658" t="s">
        <v>378</v>
      </c>
      <c r="E55" s="658"/>
      <c r="F55" s="658"/>
      <c r="G55" s="317"/>
      <c r="H55" s="101" t="s">
        <v>106</v>
      </c>
      <c r="I55" s="102">
        <f>SUM(I53:I54)</f>
        <v>10315</v>
      </c>
      <c r="J55" s="84"/>
      <c r="K55" s="90"/>
      <c r="L55" s="39"/>
      <c r="M55" s="39"/>
      <c r="N55" s="39"/>
      <c r="O55" s="39"/>
      <c r="P55" s="39"/>
      <c r="Q55" s="103"/>
      <c r="R55" s="107"/>
      <c r="S55" s="107"/>
      <c r="T55" s="104"/>
      <c r="U55" s="108">
        <f>SUM(U53:U54)</f>
        <v>10315</v>
      </c>
      <c r="V55" s="74"/>
      <c r="W55" s="87"/>
      <c r="X55" s="86"/>
      <c r="Y55" s="108">
        <f>SUM(Y53:Y54)</f>
        <v>10315</v>
      </c>
      <c r="Z55" s="108">
        <f>SUM(Z53:Z54)</f>
        <v>10060</v>
      </c>
      <c r="AA55" s="108">
        <f>SUM(AA53:AA54)</f>
        <v>10012</v>
      </c>
      <c r="AB55" s="108">
        <f>SUM(AB53:AB54)</f>
        <v>9757</v>
      </c>
      <c r="AD55" s="108">
        <f>SUM(AD53:AD54)</f>
        <v>16161</v>
      </c>
      <c r="AE55" s="108">
        <f>SUM(AE53:AE54)</f>
        <v>13634</v>
      </c>
      <c r="AF55" s="108">
        <f>SUM(AF53:AF54)</f>
        <v>14182</v>
      </c>
      <c r="AG55" s="108">
        <f>SUM(AG53:AG54)</f>
        <v>11655</v>
      </c>
      <c r="AI55" s="108">
        <f>SUM(AI53:AI54)</f>
        <v>8063</v>
      </c>
    </row>
    <row r="56" spans="1:35" s="43" customFormat="1" ht="7.5" customHeight="1">
      <c r="A56" s="79"/>
      <c r="B56" s="109"/>
      <c r="C56" s="84"/>
      <c r="D56" s="84"/>
      <c r="E56" s="84"/>
      <c r="F56" s="84"/>
      <c r="G56" s="84"/>
      <c r="H56" s="84"/>
      <c r="I56" s="84"/>
      <c r="J56" s="84"/>
      <c r="K56" s="90"/>
      <c r="L56" s="39"/>
      <c r="M56" s="39"/>
      <c r="N56" s="48"/>
      <c r="O56" s="48"/>
      <c r="P56" s="39"/>
      <c r="Q56" s="110"/>
      <c r="R56" s="74"/>
      <c r="S56" s="74"/>
      <c r="T56" s="111"/>
      <c r="U56" s="111"/>
      <c r="V56" s="74"/>
      <c r="W56" s="87"/>
      <c r="X56" s="86"/>
      <c r="Y56" s="111"/>
      <c r="Z56" s="111"/>
      <c r="AA56" s="111"/>
      <c r="AB56" s="111"/>
      <c r="AD56" s="111"/>
      <c r="AE56" s="111"/>
      <c r="AF56" s="111"/>
      <c r="AG56" s="111"/>
      <c r="AI56" s="111"/>
    </row>
    <row r="57" spans="1:35" s="43" customFormat="1" ht="3" customHeight="1">
      <c r="A57" s="79"/>
      <c r="B57" s="659"/>
      <c r="C57" s="660"/>
      <c r="D57" s="660"/>
      <c r="E57" s="660"/>
      <c r="F57" s="660"/>
      <c r="G57" s="660"/>
      <c r="H57" s="660"/>
      <c r="I57" s="660"/>
      <c r="J57" s="661"/>
      <c r="K57" s="90"/>
      <c r="L57" s="110"/>
      <c r="M57" s="110"/>
      <c r="N57" s="41"/>
      <c r="O57" s="41"/>
      <c r="P57" s="110"/>
      <c r="Q57" s="110"/>
      <c r="R57" s="74"/>
      <c r="S57" s="74"/>
      <c r="T57" s="111"/>
      <c r="U57" s="111"/>
      <c r="V57" s="74"/>
      <c r="W57" s="111"/>
      <c r="X57" s="111"/>
      <c r="Y57" s="111"/>
      <c r="Z57" s="111"/>
      <c r="AA57" s="111"/>
      <c r="AB57" s="111"/>
      <c r="AD57" s="111"/>
      <c r="AE57" s="111"/>
      <c r="AF57" s="111"/>
      <c r="AG57" s="111"/>
      <c r="AI57" s="111"/>
    </row>
    <row r="58" spans="1:35" s="43" customFormat="1" ht="15">
      <c r="A58" s="79"/>
      <c r="B58" s="663" t="str">
        <f>Sign!A16</f>
        <v>G. Lingachari, AO (Mktg), DO-VI, 98856 32211, 040 2340 3147, lingachari@orientalinsurance.co.in</v>
      </c>
      <c r="C58" s="664"/>
      <c r="D58" s="664"/>
      <c r="E58" s="664"/>
      <c r="F58" s="664"/>
      <c r="G58" s="664"/>
      <c r="H58" s="664"/>
      <c r="I58" s="664"/>
      <c r="J58" s="665"/>
      <c r="K58" s="90"/>
      <c r="L58" s="110"/>
      <c r="M58" s="110"/>
      <c r="N58" s="41"/>
      <c r="O58" s="41"/>
      <c r="P58" s="110"/>
      <c r="Q58" s="110"/>
      <c r="R58" s="74"/>
      <c r="S58" s="74"/>
      <c r="T58" s="112"/>
      <c r="U58" s="353">
        <f>ROUND(U$53*Sign!$E$12%,0)</f>
        <v>787</v>
      </c>
      <c r="V58" s="74"/>
      <c r="W58" s="111"/>
      <c r="X58" s="111"/>
      <c r="Y58" s="353">
        <f>ROUND(Y$53*Sign!$E$12%,0)</f>
        <v>787</v>
      </c>
      <c r="Z58" s="353">
        <f>ROUND(Z$53*Sign!$E$12%,0)</f>
        <v>767</v>
      </c>
      <c r="AA58" s="353">
        <f>ROUND(AA$53*Sign!$E$12%,0)</f>
        <v>764</v>
      </c>
      <c r="AB58" s="353">
        <f>ROUND(AB$53*Sign!$E$12%,0)</f>
        <v>744</v>
      </c>
      <c r="AD58" s="353">
        <f>ROUND(AD$53*Sign!$E$12%,0)</f>
        <v>1233</v>
      </c>
      <c r="AE58" s="353">
        <f>ROUND(AE$53*Sign!$E$12%,0)</f>
        <v>1040</v>
      </c>
      <c r="AF58" s="353">
        <f>ROUND(AF$53*Sign!$E$12%,0)</f>
        <v>1082</v>
      </c>
      <c r="AG58" s="353">
        <f>ROUND(AG$53*Sign!$E$12%,0)</f>
        <v>889</v>
      </c>
      <c r="AI58" s="353">
        <f>ROUND(AI$53*Sign!$E$12%,0)</f>
        <v>615</v>
      </c>
    </row>
    <row r="59" spans="1:35" s="43" customFormat="1" ht="3" customHeight="1">
      <c r="A59" s="79"/>
      <c r="B59" s="113"/>
      <c r="C59" s="114"/>
      <c r="D59" s="114"/>
      <c r="E59" s="114"/>
      <c r="F59" s="114"/>
      <c r="G59" s="114"/>
      <c r="H59" s="114"/>
      <c r="I59" s="114"/>
      <c r="J59" s="114"/>
      <c r="K59" s="115"/>
      <c r="L59" s="110"/>
      <c r="M59" s="110"/>
      <c r="N59" s="110"/>
      <c r="O59" s="110"/>
      <c r="P59" s="110"/>
      <c r="Q59" s="110"/>
      <c r="R59" s="74"/>
      <c r="S59" s="74"/>
      <c r="T59" s="111"/>
      <c r="U59" s="111"/>
      <c r="V59" s="111"/>
      <c r="W59" s="111"/>
      <c r="X59" s="111"/>
      <c r="Y59" s="111"/>
      <c r="Z59" s="111"/>
      <c r="AA59" s="111"/>
      <c r="AB59" s="111"/>
      <c r="AD59" s="111"/>
      <c r="AE59" s="111"/>
      <c r="AF59" s="111"/>
      <c r="AG59" s="111"/>
      <c r="AI59" s="111"/>
    </row>
    <row r="60" spans="1:35" ht="15">
      <c r="A60" s="79"/>
      <c r="B60" s="79"/>
      <c r="C60" s="79"/>
      <c r="D60" s="79"/>
      <c r="E60" s="79"/>
      <c r="F60" s="79"/>
      <c r="G60" s="79"/>
      <c r="H60" s="79"/>
      <c r="I60" s="79"/>
      <c r="J60" s="79"/>
      <c r="K60" s="116"/>
      <c r="L60" s="110"/>
      <c r="M60" s="110"/>
      <c r="N60" s="110">
        <f>ROUND(I68*0.025,0)</f>
        <v>0</v>
      </c>
      <c r="O60" s="110"/>
      <c r="P60" s="110"/>
      <c r="Q60" s="110"/>
      <c r="R60" s="74"/>
      <c r="S60" s="74"/>
      <c r="T60" s="111"/>
      <c r="U60" s="353">
        <f>ROUND(U$53*Sign!$E$13%,0)</f>
        <v>787</v>
      </c>
      <c r="V60" s="79"/>
      <c r="W60" s="79"/>
      <c r="X60" s="79"/>
      <c r="Y60" s="353">
        <f>ROUND(Y$53*Sign!$E$13%,0)</f>
        <v>787</v>
      </c>
      <c r="Z60" s="353">
        <f>ROUND(Z$53*Sign!$E$13%,0)</f>
        <v>767</v>
      </c>
      <c r="AA60" s="353">
        <f>ROUND(AA$53*Sign!$E$13%,0)</f>
        <v>764</v>
      </c>
      <c r="AB60" s="353">
        <f>ROUND(AB$53*Sign!$E$13%,0)</f>
        <v>744</v>
      </c>
      <c r="AC60" s="43"/>
      <c r="AD60" s="353">
        <f>ROUND(AD$53*Sign!$E$13%,0)</f>
        <v>1233</v>
      </c>
      <c r="AE60" s="353">
        <f>ROUND(AE$53*Sign!$E$13%,0)</f>
        <v>1040</v>
      </c>
      <c r="AF60" s="353">
        <f>ROUND(AF$53*Sign!$E$13%,0)</f>
        <v>1082</v>
      </c>
      <c r="AG60" s="353">
        <f>ROUND(AG$53*Sign!$E$13%,0)</f>
        <v>889</v>
      </c>
      <c r="AI60" s="353">
        <f>ROUND(AI$53*Sign!$E$13%,0)</f>
        <v>615</v>
      </c>
    </row>
    <row r="61" spans="12:29" ht="15" customHeight="1" hidden="1">
      <c r="L61" s="118"/>
      <c r="M61" s="118"/>
      <c r="N61" s="118"/>
      <c r="O61" s="118"/>
      <c r="P61" s="118"/>
      <c r="Q61" s="118"/>
      <c r="AC61" s="43"/>
    </row>
    <row r="62" ht="15" customHeight="1" hidden="1">
      <c r="AC62" s="43"/>
    </row>
    <row r="63" ht="15" customHeight="1" hidden="1">
      <c r="AC63" s="43"/>
    </row>
    <row r="64" ht="15" customHeight="1" hidden="1">
      <c r="AC64" s="43"/>
    </row>
    <row r="65" ht="15" customHeight="1" hidden="1">
      <c r="AC65" s="43"/>
    </row>
    <row r="66" ht="15" customHeight="1" hidden="1"/>
    <row r="67" ht="15" customHeight="1" hidden="1"/>
  </sheetData>
  <sheetProtection password="CE28" sheet="1" selectLockedCells="1"/>
  <mergeCells count="83">
    <mergeCell ref="M6:N6"/>
    <mergeCell ref="M8:M12"/>
    <mergeCell ref="G8:H9"/>
    <mergeCell ref="I8:I9"/>
    <mergeCell ref="N18:N19"/>
    <mergeCell ref="K19:K20"/>
    <mergeCell ref="G16:H17"/>
    <mergeCell ref="I12:I13"/>
    <mergeCell ref="M2:O2"/>
    <mergeCell ref="M3:O4"/>
    <mergeCell ref="N8:O8"/>
    <mergeCell ref="O18:O19"/>
    <mergeCell ref="M14:M19"/>
    <mergeCell ref="I16:I17"/>
    <mergeCell ref="N14:O14"/>
    <mergeCell ref="B19:J20"/>
    <mergeCell ref="G15:H15"/>
    <mergeCell ref="D16:D17"/>
    <mergeCell ref="D40:G40"/>
    <mergeCell ref="D42:G42"/>
    <mergeCell ref="E16:E17"/>
    <mergeCell ref="D54:G54"/>
    <mergeCell ref="D55:F55"/>
    <mergeCell ref="F16:F17"/>
    <mergeCell ref="D41:G41"/>
    <mergeCell ref="D45:G45"/>
    <mergeCell ref="D44:G44"/>
    <mergeCell ref="D47:G47"/>
    <mergeCell ref="D36:F36"/>
    <mergeCell ref="H36:I36"/>
    <mergeCell ref="B58:J58"/>
    <mergeCell ref="D50:G50"/>
    <mergeCell ref="D51:G51"/>
    <mergeCell ref="D52:G52"/>
    <mergeCell ref="D53:G53"/>
    <mergeCell ref="D37:I37"/>
    <mergeCell ref="D43:G43"/>
    <mergeCell ref="D39:G39"/>
    <mergeCell ref="D28:F28"/>
    <mergeCell ref="H28:I28"/>
    <mergeCell ref="B57:J57"/>
    <mergeCell ref="D38:G38"/>
    <mergeCell ref="D48:G48"/>
    <mergeCell ref="D49:G49"/>
    <mergeCell ref="D46:G46"/>
    <mergeCell ref="H29:I29"/>
    <mergeCell ref="D30:F30"/>
    <mergeCell ref="H30:I30"/>
    <mergeCell ref="H34:I34"/>
    <mergeCell ref="H33:I33"/>
    <mergeCell ref="D34:F34"/>
    <mergeCell ref="H35:I35"/>
    <mergeCell ref="D33:F33"/>
    <mergeCell ref="D32:F32"/>
    <mergeCell ref="H32:I32"/>
    <mergeCell ref="D35:F35"/>
    <mergeCell ref="I4:I5"/>
    <mergeCell ref="C2:F2"/>
    <mergeCell ref="D8:D9"/>
    <mergeCell ref="D29:F29"/>
    <mergeCell ref="D31:F31"/>
    <mergeCell ref="H31:I31"/>
    <mergeCell ref="B24:K24"/>
    <mergeCell ref="C25:K25"/>
    <mergeCell ref="D27:F27"/>
    <mergeCell ref="H27:I27"/>
    <mergeCell ref="G2:H2"/>
    <mergeCell ref="G7:H7"/>
    <mergeCell ref="D3:I3"/>
    <mergeCell ref="G21:H21"/>
    <mergeCell ref="B22:K22"/>
    <mergeCell ref="B23:K23"/>
    <mergeCell ref="E12:E13"/>
    <mergeCell ref="I2:K2"/>
    <mergeCell ref="G12:H13"/>
    <mergeCell ref="G4:H5"/>
    <mergeCell ref="D12:D13"/>
    <mergeCell ref="E8:E9"/>
    <mergeCell ref="F8:F9"/>
    <mergeCell ref="G11:H11"/>
    <mergeCell ref="D4:D5"/>
    <mergeCell ref="E4:F5"/>
    <mergeCell ref="F12:F13"/>
  </mergeCells>
  <dataValidations count="14">
    <dataValidation allowBlank="1" showErrorMessage="1" sqref="D12:F12 E4 D8:F8"/>
    <dataValidation operator="equal" allowBlank="1" showErrorMessage="1" errorTitle="Sum Insured" error="Please Enter the Data Correctly, to validate the Field" sqref="H31:H33">
      <formula1>0</formula1>
    </dataValidation>
    <dataValidation type="decimal" allowBlank="1" showInputMessage="1" showErrorMessage="1" errorTitle="U/w Discount" error="Please Enter the Discount %age Correctly (Max 93.69%), to validate this Field" sqref="I16">
      <formula1>0</formula1>
      <formula2>93.69</formula2>
    </dataValidation>
    <dataValidation type="list" allowBlank="1" showInputMessage="1" showErrorMessage="1" sqref="E16">
      <formula1>"Yes (Limited),No (Wider)"</formula1>
    </dataValidation>
    <dataValidation type="list" allowBlank="1" showInputMessage="1" showErrorMessage="1" sqref="G16">
      <formula1>NCB</formula1>
    </dataValidation>
    <dataValidation type="list" allowBlank="1" showErrorMessage="1" sqref="I4">
      <formula1>$R$2:$R$4</formula1>
    </dataValidation>
    <dataValidation type="list" allowBlank="1" showInputMessage="1" showErrorMessage="1" sqref="I8">
      <formula1>"Zone: A,Zone: B"</formula1>
    </dataValidation>
    <dataValidation type="list" allowBlank="1" showInputMessage="1" showErrorMessage="1" sqref="G8">
      <formula1>$T$3:$T$6</formula1>
    </dataValidation>
    <dataValidation type="list" allowBlank="1" showInputMessage="1" showErrorMessage="1" sqref="F16">
      <formula1>$Y$2:$Y$12</formula1>
    </dataValidation>
    <dataValidation type="list" allowBlank="1" showInputMessage="1" showErrorMessage="1" sqref="G11:H11">
      <formula1>"NDP - Yes,NDP - No"</formula1>
    </dataValidation>
    <dataValidation type="decimal" allowBlank="1" showErrorMessage="1" sqref="G12:H13">
      <formula1>0</formula1>
      <formula2>MIN(I16,40)</formula2>
    </dataValidation>
    <dataValidation type="list" allowBlank="1" showInputMessage="1" showErrorMessage="1" sqref="I11">
      <formula1>"RTI - Yes,RTI - No"</formula1>
    </dataValidation>
    <dataValidation type="decimal" allowBlank="1" showErrorMessage="1" sqref="I12:I13">
      <formula1>0</formula1>
      <formula2>G12</formula2>
    </dataValidation>
    <dataValidation type="list" allowBlank="1" showInputMessage="1" showErrorMessage="1" sqref="D16:D17">
      <formula1>$W$10:$W$12</formula1>
    </dataValidation>
  </dataValidations>
  <printOptions horizontalCentered="1" verticalCentered="1"/>
  <pageMargins left="0.5" right="0.5" top="0.4" bottom="0.4" header="0.3" footer="0.3"/>
  <pageSetup fitToHeight="1" fitToWidth="1" horizontalDpi="300" verticalDpi="300" orientation="portrait" paperSize="9" r:id="rId1"/>
</worksheet>
</file>

<file path=xl/worksheets/sheet9.xml><?xml version="1.0" encoding="utf-8"?>
<worksheet xmlns="http://schemas.openxmlformats.org/spreadsheetml/2006/main" xmlns:r="http://schemas.openxmlformats.org/officeDocument/2006/relationships">
  <sheetPr>
    <tabColor rgb="FFFF0000"/>
    <pageSetUpPr fitToPage="1"/>
  </sheetPr>
  <dimension ref="A1:AR592"/>
  <sheetViews>
    <sheetView showGridLines="0" showRowColHeaders="0" zoomScalePageLayoutView="0" workbookViewId="0" topLeftCell="A1">
      <selection activeCell="E5" sqref="E5:F5"/>
    </sheetView>
  </sheetViews>
  <sheetFormatPr defaultColWidth="0" defaultRowHeight="15" customHeight="1" zeroHeight="1"/>
  <cols>
    <col min="1" max="2" width="2.57421875" style="2" customWidth="1"/>
    <col min="3" max="3" width="2.28125" style="2" customWidth="1"/>
    <col min="4" max="5" width="16.7109375" style="2" customWidth="1"/>
    <col min="6" max="6" width="15.7109375" style="2" customWidth="1"/>
    <col min="7" max="7" width="1.421875" style="2" customWidth="1"/>
    <col min="8" max="9" width="14.7109375" style="2" customWidth="1"/>
    <col min="10" max="10" width="2.28125" style="2" customWidth="1"/>
    <col min="11" max="11" width="2.57421875" style="117" customWidth="1"/>
    <col min="12" max="12" width="1.1484375" style="121" customWidth="1"/>
    <col min="13" max="13" width="4.28125" style="121" customWidth="1"/>
    <col min="14" max="16" width="18.7109375" style="121" customWidth="1"/>
    <col min="17" max="17" width="2.57421875" style="121" customWidth="1"/>
    <col min="18" max="18" width="4.140625" style="121" hidden="1" customWidth="1"/>
    <col min="19" max="19" width="10.57421875" style="2" hidden="1" customWidth="1"/>
    <col min="20" max="20" width="9.140625" style="2" hidden="1" customWidth="1"/>
    <col min="21" max="21" width="9.7109375" style="2" hidden="1" customWidth="1"/>
    <col min="22" max="22" width="9.421875" style="2" hidden="1" customWidth="1"/>
    <col min="23" max="23" width="8.7109375" style="2" hidden="1" customWidth="1"/>
    <col min="24" max="24" width="8.28125" style="119" hidden="1" customWidth="1"/>
    <col min="25" max="25" width="8.00390625" style="119" hidden="1" customWidth="1"/>
    <col min="26" max="33" width="9.7109375" style="120" hidden="1" customWidth="1"/>
    <col min="34" max="34" width="8.140625" style="2" hidden="1" customWidth="1"/>
    <col min="35" max="35" width="7.140625" style="2" hidden="1" customWidth="1"/>
    <col min="36" max="36" width="8.57421875" style="2" hidden="1" customWidth="1"/>
    <col min="37" max="39" width="9.140625" style="2" hidden="1" customWidth="1"/>
    <col min="40" max="40" width="8.00390625" style="2" hidden="1" customWidth="1"/>
    <col min="41" max="16384" width="9.140625" style="2" hidden="1" customWidth="1"/>
  </cols>
  <sheetData>
    <row r="1" spans="1:37" s="43" customFormat="1" ht="9" customHeight="1">
      <c r="A1" s="372"/>
      <c r="B1" s="39"/>
      <c r="C1" s="39"/>
      <c r="D1" s="39"/>
      <c r="E1" s="39"/>
      <c r="F1" s="39"/>
      <c r="G1" s="39"/>
      <c r="H1" s="39"/>
      <c r="I1" s="39"/>
      <c r="J1" s="39"/>
      <c r="K1" s="39"/>
      <c r="L1" s="39"/>
      <c r="M1" s="39"/>
      <c r="N1" s="39"/>
      <c r="O1" s="39"/>
      <c r="P1" s="39"/>
      <c r="Q1" s="39"/>
      <c r="R1" s="39"/>
      <c r="S1" s="39"/>
      <c r="T1" s="39"/>
      <c r="U1" s="39"/>
      <c r="V1" s="39"/>
      <c r="W1" s="39"/>
      <c r="X1" s="39"/>
      <c r="Y1" s="39"/>
      <c r="Z1" s="41"/>
      <c r="AA1" s="42"/>
      <c r="AB1" s="42"/>
      <c r="AC1" s="42"/>
      <c r="AD1" s="42"/>
      <c r="AE1" s="42"/>
      <c r="AF1" s="42"/>
      <c r="AG1" s="42"/>
      <c r="AH1" s="42"/>
      <c r="AI1" s="42"/>
      <c r="AJ1" s="42"/>
      <c r="AK1" s="42"/>
    </row>
    <row r="2" spans="1:37" s="43" customFormat="1" ht="19.5" customHeight="1">
      <c r="A2" s="39"/>
      <c r="B2" s="45"/>
      <c r="C2" s="615" t="s">
        <v>75</v>
      </c>
      <c r="D2" s="616"/>
      <c r="E2" s="616"/>
      <c r="F2" s="682"/>
      <c r="G2" s="683" t="str">
        <f>CONCATENATE("Com: ",ROUND(I54*0.15,0))</f>
        <v>Com: 4692</v>
      </c>
      <c r="H2" s="684"/>
      <c r="I2" s="780" t="s">
        <v>436</v>
      </c>
      <c r="J2" s="781"/>
      <c r="K2" s="782"/>
      <c r="L2" s="95"/>
      <c r="M2" s="785" t="s">
        <v>453</v>
      </c>
      <c r="N2" s="786"/>
      <c r="O2" s="786"/>
      <c r="P2" s="787"/>
      <c r="Q2" s="39"/>
      <c r="R2" s="39"/>
      <c r="S2" s="95"/>
      <c r="T2" s="39"/>
      <c r="U2" s="41"/>
      <c r="V2" s="42"/>
      <c r="W2" s="39"/>
      <c r="X2" s="39"/>
      <c r="Y2" s="39"/>
      <c r="Z2" s="41"/>
      <c r="AA2" s="42"/>
      <c r="AB2" s="42"/>
      <c r="AC2" s="334" t="s">
        <v>253</v>
      </c>
      <c r="AD2" s="343">
        <v>0.16</v>
      </c>
      <c r="AE2" s="343">
        <v>0.19</v>
      </c>
      <c r="AF2" s="344">
        <v>15</v>
      </c>
      <c r="AG2" s="323">
        <v>40</v>
      </c>
      <c r="AH2" s="323">
        <v>0.3</v>
      </c>
      <c r="AI2" s="341">
        <v>0</v>
      </c>
      <c r="AJ2" s="342">
        <v>0</v>
      </c>
      <c r="AK2" s="42"/>
    </row>
    <row r="3" spans="1:37" s="43" customFormat="1" ht="3.75" customHeight="1">
      <c r="A3" s="39"/>
      <c r="B3" s="49"/>
      <c r="C3" s="795"/>
      <c r="D3" s="696"/>
      <c r="E3" s="696"/>
      <c r="F3" s="696"/>
      <c r="G3" s="696"/>
      <c r="H3" s="696"/>
      <c r="I3" s="696"/>
      <c r="J3" s="500"/>
      <c r="K3" s="321"/>
      <c r="L3" s="95"/>
      <c r="M3" s="39"/>
      <c r="N3" s="39"/>
      <c r="O3" s="39"/>
      <c r="P3" s="39"/>
      <c r="Q3" s="39"/>
      <c r="R3" s="39"/>
      <c r="S3" s="39"/>
      <c r="T3" s="39"/>
      <c r="U3" s="41"/>
      <c r="V3" s="42"/>
      <c r="W3" s="39"/>
      <c r="X3" s="39"/>
      <c r="Y3" s="39"/>
      <c r="Z3" s="41"/>
      <c r="AA3" s="42"/>
      <c r="AB3" s="42"/>
      <c r="AC3" s="334" t="s">
        <v>253</v>
      </c>
      <c r="AD3" s="343">
        <v>0.18</v>
      </c>
      <c r="AE3" s="343">
        <v>0.22</v>
      </c>
      <c r="AF3" s="344">
        <v>15</v>
      </c>
      <c r="AG3" s="323">
        <v>40</v>
      </c>
      <c r="AH3" s="323">
        <v>0.4</v>
      </c>
      <c r="AI3" s="341">
        <v>20</v>
      </c>
      <c r="AJ3" s="342">
        <f>AJ1+10000</f>
        <v>10000</v>
      </c>
      <c r="AK3" s="42"/>
    </row>
    <row r="4" spans="1:37" s="43" customFormat="1" ht="18" customHeight="1">
      <c r="A4" s="39"/>
      <c r="B4" s="49"/>
      <c r="C4" s="796"/>
      <c r="D4" s="783"/>
      <c r="E4" s="783"/>
      <c r="F4" s="783"/>
      <c r="G4" s="783"/>
      <c r="H4" s="783"/>
      <c r="I4" s="783"/>
      <c r="J4" s="699"/>
      <c r="K4" s="321"/>
      <c r="L4" s="95"/>
      <c r="M4" s="794" t="s">
        <v>452</v>
      </c>
      <c r="N4" s="502" t="s">
        <v>454</v>
      </c>
      <c r="O4" s="502" t="s">
        <v>455</v>
      </c>
      <c r="P4" s="502" t="s">
        <v>456</v>
      </c>
      <c r="Q4" s="39"/>
      <c r="R4" s="39"/>
      <c r="S4" s="95" t="s">
        <v>438</v>
      </c>
      <c r="T4" s="95" t="s">
        <v>459</v>
      </c>
      <c r="U4" s="41"/>
      <c r="V4" s="42"/>
      <c r="W4" s="39"/>
      <c r="X4" s="39"/>
      <c r="Y4" s="39"/>
      <c r="Z4" s="41"/>
      <c r="AA4" s="42"/>
      <c r="AB4" s="42"/>
      <c r="AC4" s="334" t="s">
        <v>253</v>
      </c>
      <c r="AD4" s="343">
        <v>0.18</v>
      </c>
      <c r="AE4" s="343">
        <v>0.22</v>
      </c>
      <c r="AF4" s="344">
        <v>15</v>
      </c>
      <c r="AG4" s="323">
        <v>40</v>
      </c>
      <c r="AH4" s="323">
        <v>0.4</v>
      </c>
      <c r="AI4" s="341">
        <v>20</v>
      </c>
      <c r="AJ4" s="342">
        <f>AJ2+10000</f>
        <v>10000</v>
      </c>
      <c r="AK4" s="42"/>
    </row>
    <row r="5" spans="1:37" s="43" customFormat="1" ht="19.5" customHeight="1">
      <c r="A5" s="39"/>
      <c r="B5" s="49"/>
      <c r="C5" s="796"/>
      <c r="D5" s="477" t="s">
        <v>80</v>
      </c>
      <c r="E5" s="687" t="s">
        <v>474</v>
      </c>
      <c r="F5" s="687"/>
      <c r="G5" s="668" t="s">
        <v>81</v>
      </c>
      <c r="H5" s="668"/>
      <c r="I5" s="501" t="s">
        <v>447</v>
      </c>
      <c r="J5" s="699"/>
      <c r="K5" s="321"/>
      <c r="L5" s="95"/>
      <c r="M5" s="794"/>
      <c r="N5" s="490" t="s">
        <v>383</v>
      </c>
      <c r="O5" s="490" t="s">
        <v>383</v>
      </c>
      <c r="P5" s="490" t="s">
        <v>383</v>
      </c>
      <c r="Q5" s="39"/>
      <c r="R5" s="39"/>
      <c r="S5" s="95" t="s">
        <v>82</v>
      </c>
      <c r="T5" s="95" t="s">
        <v>460</v>
      </c>
      <c r="U5" s="41"/>
      <c r="V5" s="42"/>
      <c r="W5" s="39"/>
      <c r="X5" s="39"/>
      <c r="Y5" s="39"/>
      <c r="Z5" s="41"/>
      <c r="AA5" s="42"/>
      <c r="AB5" s="42"/>
      <c r="AC5" s="334"/>
      <c r="AD5" s="343">
        <v>0.18</v>
      </c>
      <c r="AE5" s="343">
        <v>0.22</v>
      </c>
      <c r="AF5" s="344">
        <v>25</v>
      </c>
      <c r="AG5" s="323">
        <v>40</v>
      </c>
      <c r="AH5" s="323">
        <v>0.4</v>
      </c>
      <c r="AI5" s="341">
        <v>25</v>
      </c>
      <c r="AJ5" s="342">
        <f aca="true" t="shared" si="0" ref="AJ5:AJ23">AJ4+10000</f>
        <v>20000</v>
      </c>
      <c r="AK5" s="42"/>
    </row>
    <row r="6" spans="1:37" s="43" customFormat="1" ht="18" customHeight="1">
      <c r="A6" s="39"/>
      <c r="B6" s="49"/>
      <c r="C6" s="796"/>
      <c r="D6" s="697"/>
      <c r="E6" s="697"/>
      <c r="F6" s="697"/>
      <c r="G6" s="697"/>
      <c r="H6" s="697"/>
      <c r="I6" s="697"/>
      <c r="J6" s="699"/>
      <c r="K6" s="321"/>
      <c r="L6" s="95"/>
      <c r="M6" s="794"/>
      <c r="N6" s="491" t="s">
        <v>475</v>
      </c>
      <c r="O6" s="492" t="str">
        <f>CONCATENATE(MIN(I16,40),"% Max Disc")</f>
        <v>36% Max Disc</v>
      </c>
      <c r="P6" s="492" t="str">
        <f>CONCATENATE(IF(T15=0,0,IF(O7=0,I16,MIN(I16,O7))),"% Max Disc")</f>
        <v>36% Max Disc</v>
      </c>
      <c r="Q6" s="39"/>
      <c r="R6" s="39"/>
      <c r="S6" s="95" t="s">
        <v>447</v>
      </c>
      <c r="T6" s="95" t="s">
        <v>461</v>
      </c>
      <c r="U6" s="41"/>
      <c r="V6" s="42"/>
      <c r="W6" s="39"/>
      <c r="X6" s="39"/>
      <c r="Y6" s="39"/>
      <c r="Z6" s="41"/>
      <c r="AA6" s="42"/>
      <c r="AB6" s="42"/>
      <c r="AC6" s="334"/>
      <c r="AD6" s="343">
        <v>0.21</v>
      </c>
      <c r="AE6" s="343">
        <v>0.25</v>
      </c>
      <c r="AF6" s="344">
        <v>25</v>
      </c>
      <c r="AG6" s="323">
        <v>40</v>
      </c>
      <c r="AH6" s="323">
        <v>0.6</v>
      </c>
      <c r="AI6" s="341">
        <v>35</v>
      </c>
      <c r="AJ6" s="342">
        <f t="shared" si="0"/>
        <v>30000</v>
      </c>
      <c r="AK6" s="42"/>
    </row>
    <row r="7" spans="1:37" s="43" customFormat="1" ht="19.5" customHeight="1">
      <c r="A7" s="39"/>
      <c r="B7" s="49"/>
      <c r="C7" s="796"/>
      <c r="D7" s="373" t="s">
        <v>84</v>
      </c>
      <c r="E7" s="477" t="s">
        <v>85</v>
      </c>
      <c r="F7" s="477" t="s">
        <v>86</v>
      </c>
      <c r="G7" s="668" t="s">
        <v>87</v>
      </c>
      <c r="H7" s="668"/>
      <c r="I7" s="477" t="s">
        <v>11</v>
      </c>
      <c r="J7" s="699"/>
      <c r="K7" s="321"/>
      <c r="L7" s="95"/>
      <c r="M7" s="794"/>
      <c r="N7" s="493" t="s">
        <v>428</v>
      </c>
      <c r="O7" s="494">
        <v>40</v>
      </c>
      <c r="P7" s="494">
        <v>40</v>
      </c>
      <c r="Q7" s="39"/>
      <c r="R7" s="39"/>
      <c r="S7" s="39"/>
      <c r="T7" s="39"/>
      <c r="U7" s="41"/>
      <c r="V7" s="42"/>
      <c r="W7" s="39"/>
      <c r="X7" s="39"/>
      <c r="Y7" s="39"/>
      <c r="Z7" s="41"/>
      <c r="AA7" s="42"/>
      <c r="AB7" s="42"/>
      <c r="AC7" s="334"/>
      <c r="AD7" s="343">
        <v>0.21</v>
      </c>
      <c r="AE7" s="343">
        <v>0.25</v>
      </c>
      <c r="AF7" s="344">
        <v>35</v>
      </c>
      <c r="AG7" s="323">
        <v>40</v>
      </c>
      <c r="AH7" s="323">
        <v>0</v>
      </c>
      <c r="AI7" s="341">
        <v>45</v>
      </c>
      <c r="AJ7" s="342">
        <f t="shared" si="0"/>
        <v>40000</v>
      </c>
      <c r="AK7" s="42"/>
    </row>
    <row r="8" spans="1:37" s="43" customFormat="1" ht="19.5" customHeight="1">
      <c r="A8" s="39"/>
      <c r="B8" s="49"/>
      <c r="C8" s="796"/>
      <c r="D8" s="677" t="s">
        <v>441</v>
      </c>
      <c r="E8" s="677" t="s">
        <v>442</v>
      </c>
      <c r="F8" s="784" t="s">
        <v>253</v>
      </c>
      <c r="G8" s="689" t="s">
        <v>326</v>
      </c>
      <c r="H8" s="689"/>
      <c r="I8" s="676" t="s">
        <v>78</v>
      </c>
      <c r="J8" s="699"/>
      <c r="K8" s="321"/>
      <c r="L8" s="95"/>
      <c r="M8" s="39"/>
      <c r="N8" s="39"/>
      <c r="O8" s="39"/>
      <c r="P8" s="39"/>
      <c r="Q8" s="39"/>
      <c r="R8" s="39"/>
      <c r="S8" s="504">
        <f>I64</f>
        <v>49609</v>
      </c>
      <c r="T8" s="39"/>
      <c r="U8" s="41"/>
      <c r="V8" s="42"/>
      <c r="W8" s="39"/>
      <c r="X8" s="39"/>
      <c r="Y8" s="39"/>
      <c r="Z8" s="41"/>
      <c r="AA8" s="42"/>
      <c r="AB8" s="42"/>
      <c r="AC8" s="334"/>
      <c r="AD8" s="343">
        <v>0.25</v>
      </c>
      <c r="AE8" s="343">
        <v>0.3</v>
      </c>
      <c r="AF8" s="344">
        <v>35</v>
      </c>
      <c r="AG8" s="323">
        <v>20</v>
      </c>
      <c r="AH8" s="323">
        <v>0</v>
      </c>
      <c r="AI8" s="341">
        <v>50</v>
      </c>
      <c r="AJ8" s="342">
        <f t="shared" si="0"/>
        <v>50000</v>
      </c>
      <c r="AK8" s="42"/>
    </row>
    <row r="9" spans="1:37" s="43" customFormat="1" ht="19.5" customHeight="1">
      <c r="A9" s="39"/>
      <c r="B9" s="49"/>
      <c r="C9" s="796"/>
      <c r="D9" s="677"/>
      <c r="E9" s="677"/>
      <c r="F9" s="784"/>
      <c r="G9" s="689"/>
      <c r="H9" s="689"/>
      <c r="I9" s="676"/>
      <c r="J9" s="699"/>
      <c r="K9" s="321"/>
      <c r="L9" s="95"/>
      <c r="M9" s="794" t="s">
        <v>82</v>
      </c>
      <c r="N9" s="495" t="s">
        <v>451</v>
      </c>
      <c r="O9" s="495" t="s">
        <v>210</v>
      </c>
      <c r="P9" s="495" t="s">
        <v>329</v>
      </c>
      <c r="Q9" s="39"/>
      <c r="R9" s="39"/>
      <c r="S9" s="39"/>
      <c r="T9" s="95"/>
      <c r="U9" s="95"/>
      <c r="V9" s="95"/>
      <c r="W9" s="95"/>
      <c r="X9" s="95"/>
      <c r="Y9" s="95"/>
      <c r="Z9" s="41"/>
      <c r="AA9" s="42"/>
      <c r="AB9" s="42"/>
      <c r="AC9" s="334"/>
      <c r="AD9" s="343">
        <v>0.3</v>
      </c>
      <c r="AE9" s="343">
        <v>0.37</v>
      </c>
      <c r="AF9" s="344">
        <v>35</v>
      </c>
      <c r="AG9" s="323">
        <v>10</v>
      </c>
      <c r="AH9" s="323">
        <v>0</v>
      </c>
      <c r="AI9" s="341">
        <v>65</v>
      </c>
      <c r="AJ9" s="342">
        <f t="shared" si="0"/>
        <v>60000</v>
      </c>
      <c r="AK9" s="42"/>
    </row>
    <row r="10" spans="1:37" s="43" customFormat="1" ht="18" customHeight="1">
      <c r="A10" s="39"/>
      <c r="B10" s="49"/>
      <c r="C10" s="796"/>
      <c r="D10" s="697"/>
      <c r="E10" s="697"/>
      <c r="F10" s="697"/>
      <c r="G10" s="697"/>
      <c r="H10" s="697"/>
      <c r="I10" s="697"/>
      <c r="J10" s="699"/>
      <c r="K10" s="321"/>
      <c r="L10" s="95"/>
      <c r="M10" s="794"/>
      <c r="N10" s="496">
        <f>IF(AM64=0,"Not Avb",AM64)</f>
        <v>58135</v>
      </c>
      <c r="O10" s="497">
        <f>IF(AK64=0,"Not Avb",AK64)</f>
        <v>72952</v>
      </c>
      <c r="P10" s="496" t="s">
        <v>440</v>
      </c>
      <c r="Q10" s="39"/>
      <c r="R10" s="39"/>
      <c r="S10" s="39"/>
      <c r="T10" s="503">
        <v>4.72</v>
      </c>
      <c r="U10" s="503">
        <v>4.62</v>
      </c>
      <c r="V10" s="503">
        <v>4.96</v>
      </c>
      <c r="W10" s="503">
        <v>4.83</v>
      </c>
      <c r="X10" s="503">
        <v>5.23</v>
      </c>
      <c r="Y10" s="503">
        <v>5.15</v>
      </c>
      <c r="Z10" s="41"/>
      <c r="AA10" s="42"/>
      <c r="AB10" s="42"/>
      <c r="AC10" s="334"/>
      <c r="AD10" s="343">
        <v>0.18</v>
      </c>
      <c r="AE10" s="343">
        <v>0.22</v>
      </c>
      <c r="AF10" s="344">
        <v>0</v>
      </c>
      <c r="AG10" s="323">
        <v>0</v>
      </c>
      <c r="AH10" s="323">
        <v>0</v>
      </c>
      <c r="AI10" s="42"/>
      <c r="AJ10" s="342">
        <f t="shared" si="0"/>
        <v>70000</v>
      </c>
      <c r="AK10" s="42"/>
    </row>
    <row r="11" spans="1:37" s="43" customFormat="1" ht="19.5" customHeight="1">
      <c r="A11" s="39"/>
      <c r="B11" s="49"/>
      <c r="C11" s="796"/>
      <c r="D11" s="373" t="str">
        <f>IF(F8&lt;5.01,"IDV of Vehicle","Sum Insured")</f>
        <v>Sum Insured</v>
      </c>
      <c r="E11" s="373" t="s">
        <v>90</v>
      </c>
      <c r="F11" s="373" t="s">
        <v>91</v>
      </c>
      <c r="G11" s="668" t="s">
        <v>332</v>
      </c>
      <c r="H11" s="668"/>
      <c r="I11" s="477" t="s">
        <v>333</v>
      </c>
      <c r="J11" s="699"/>
      <c r="K11" s="321"/>
      <c r="L11" s="95"/>
      <c r="M11" s="794"/>
      <c r="N11" s="495" t="s">
        <v>211</v>
      </c>
      <c r="O11" s="495" t="s">
        <v>330</v>
      </c>
      <c r="P11" s="495" t="s">
        <v>331</v>
      </c>
      <c r="Q11" s="39"/>
      <c r="R11" s="39"/>
      <c r="S11" s="340">
        <f>IF(G8="",T11,IF(G8=AC13,T11,IF(G8=AC14,V11,X11)))</f>
        <v>4.96</v>
      </c>
      <c r="T11" s="339">
        <f>IF($I$8="Zone:  B",U10,T10)</f>
        <v>4.72</v>
      </c>
      <c r="U11" s="503"/>
      <c r="V11" s="339">
        <f>IF($I$8="Zone:  B",W10,V10)</f>
        <v>4.96</v>
      </c>
      <c r="W11" s="503"/>
      <c r="X11" s="339">
        <f>IF($I$8="Zone:  B",Y10,X10)</f>
        <v>5.23</v>
      </c>
      <c r="Y11" s="503"/>
      <c r="Z11" s="41"/>
      <c r="AA11" s="42"/>
      <c r="AB11" s="42"/>
      <c r="AC11" s="334"/>
      <c r="AD11" s="343">
        <v>0</v>
      </c>
      <c r="AE11" s="343">
        <v>0</v>
      </c>
      <c r="AF11" s="344">
        <v>0</v>
      </c>
      <c r="AG11" s="323">
        <v>0</v>
      </c>
      <c r="AH11" s="323">
        <v>0</v>
      </c>
      <c r="AI11" s="42"/>
      <c r="AJ11" s="342">
        <f t="shared" si="0"/>
        <v>80000</v>
      </c>
      <c r="AK11" s="42"/>
    </row>
    <row r="12" spans="1:37" s="43" customFormat="1" ht="19.5" customHeight="1">
      <c r="A12" s="39"/>
      <c r="B12" s="49"/>
      <c r="C12" s="796"/>
      <c r="D12" s="670">
        <v>1081089</v>
      </c>
      <c r="E12" s="670">
        <v>108108</v>
      </c>
      <c r="F12" s="670">
        <v>108108</v>
      </c>
      <c r="G12" s="676" t="s">
        <v>95</v>
      </c>
      <c r="H12" s="676"/>
      <c r="I12" s="667">
        <v>108108</v>
      </c>
      <c r="J12" s="699"/>
      <c r="K12" s="321"/>
      <c r="L12" s="95"/>
      <c r="M12" s="794"/>
      <c r="N12" s="497">
        <f>IF(AL64=0,"Not Avb",AL64)</f>
        <v>70035</v>
      </c>
      <c r="O12" s="497" t="s">
        <v>440</v>
      </c>
      <c r="P12" s="497">
        <f>IF(AJ64=0,"Not Avb",AJ64)</f>
        <v>84852</v>
      </c>
      <c r="Q12" s="39"/>
      <c r="R12" s="39"/>
      <c r="S12" s="340"/>
      <c r="T12" s="339">
        <v>3.127</v>
      </c>
      <c r="U12" s="339">
        <v>3.039</v>
      </c>
      <c r="V12" s="339">
        <v>3.283</v>
      </c>
      <c r="W12" s="339">
        <v>3.191</v>
      </c>
      <c r="X12" s="339">
        <v>3.44</v>
      </c>
      <c r="Y12" s="339">
        <v>3.343</v>
      </c>
      <c r="Z12" s="41"/>
      <c r="AA12" s="42"/>
      <c r="AB12" s="42"/>
      <c r="AC12" s="42"/>
      <c r="AD12" s="328">
        <f>IF(F8="",AD2,(VLOOKUP(F8,AC2:AD11,2,0)))</f>
        <v>0.16</v>
      </c>
      <c r="AE12" s="328">
        <f>IF(F8="",AE2,(VLOOKUP(F8,AC2:AE11,3,0)))</f>
        <v>0.19</v>
      </c>
      <c r="AF12" s="42"/>
      <c r="AG12" s="345">
        <f>MIN(VLOOKUP(F8,AC2:AG11,5,0),I16)</f>
        <v>36</v>
      </c>
      <c r="AH12" s="42"/>
      <c r="AI12" s="42"/>
      <c r="AJ12" s="342">
        <f t="shared" si="0"/>
        <v>90000</v>
      </c>
      <c r="AK12" s="42"/>
    </row>
    <row r="13" spans="1:37" s="43" customFormat="1" ht="19.5" customHeight="1">
      <c r="A13" s="39"/>
      <c r="B13" s="49"/>
      <c r="C13" s="796"/>
      <c r="D13" s="670"/>
      <c r="E13" s="670"/>
      <c r="F13" s="670"/>
      <c r="G13" s="676"/>
      <c r="H13" s="676"/>
      <c r="I13" s="667"/>
      <c r="J13" s="699"/>
      <c r="K13" s="321"/>
      <c r="L13" s="95"/>
      <c r="M13" s="794"/>
      <c r="N13" s="495" t="s">
        <v>340</v>
      </c>
      <c r="O13" s="793" t="s">
        <v>399</v>
      </c>
      <c r="P13" s="793"/>
      <c r="Q13" s="39"/>
      <c r="R13" s="39"/>
      <c r="S13" s="340">
        <f>IF(G8="",T13,IF(G8=AC13,T13,IF(G8=AC14,V13,X13)))</f>
        <v>3.283</v>
      </c>
      <c r="T13" s="339">
        <f>IF($I$8="Zone:  B",U12,T12)</f>
        <v>3.127</v>
      </c>
      <c r="U13" s="339"/>
      <c r="V13" s="339">
        <f>IF($I$8="Zone:  B",W12,V12)</f>
        <v>3.283</v>
      </c>
      <c r="W13" s="339"/>
      <c r="X13" s="339">
        <f>IF($I$8="Zone:  B",Y12,X12)</f>
        <v>3.44</v>
      </c>
      <c r="Y13" s="339"/>
      <c r="Z13" s="41"/>
      <c r="AA13" s="42"/>
      <c r="AB13" s="42"/>
      <c r="AC13" s="322" t="s">
        <v>126</v>
      </c>
      <c r="AD13" s="42">
        <v>-10</v>
      </c>
      <c r="AE13" s="42">
        <v>1000</v>
      </c>
      <c r="AF13" s="330" t="s">
        <v>335</v>
      </c>
      <c r="AG13" s="331"/>
      <c r="AH13" s="331"/>
      <c r="AI13" s="331"/>
      <c r="AJ13" s="342">
        <f t="shared" si="0"/>
        <v>100000</v>
      </c>
      <c r="AK13" s="42"/>
    </row>
    <row r="14" spans="1:37" s="43" customFormat="1" ht="18" customHeight="1">
      <c r="A14" s="39"/>
      <c r="B14" s="49"/>
      <c r="C14" s="796"/>
      <c r="D14" s="697"/>
      <c r="E14" s="697"/>
      <c r="F14" s="697"/>
      <c r="G14" s="697"/>
      <c r="H14" s="697"/>
      <c r="I14" s="697"/>
      <c r="J14" s="699"/>
      <c r="K14" s="321"/>
      <c r="L14" s="95"/>
      <c r="M14" s="794"/>
      <c r="N14" s="497" t="s">
        <v>440</v>
      </c>
      <c r="O14" s="498"/>
      <c r="P14" s="499" t="s">
        <v>440</v>
      </c>
      <c r="Q14" s="39"/>
      <c r="R14" s="39"/>
      <c r="S14" s="63" t="s">
        <v>96</v>
      </c>
      <c r="T14" s="63" t="s">
        <v>97</v>
      </c>
      <c r="U14" s="64" t="s">
        <v>375</v>
      </c>
      <c r="V14" s="39"/>
      <c r="W14" s="39"/>
      <c r="X14" s="39"/>
      <c r="Y14" s="39"/>
      <c r="Z14" s="41"/>
      <c r="AA14" s="42"/>
      <c r="AB14" s="42"/>
      <c r="AC14" s="322" t="s">
        <v>326</v>
      </c>
      <c r="AD14" s="42">
        <v>-10</v>
      </c>
      <c r="AE14" s="42">
        <v>1500</v>
      </c>
      <c r="AF14" s="324" t="s">
        <v>70</v>
      </c>
      <c r="AG14" s="324">
        <f>IF(G8=AC13,-10,IF(G8=AC14,-10,IF(G8="",-10,0)))</f>
        <v>-10</v>
      </c>
      <c r="AH14" s="324" t="s">
        <v>70</v>
      </c>
      <c r="AI14" s="324">
        <f>IF(G8=AC16,10,0)</f>
        <v>0</v>
      </c>
      <c r="AJ14" s="342">
        <f t="shared" si="0"/>
        <v>110000</v>
      </c>
      <c r="AK14" s="42"/>
    </row>
    <row r="15" spans="1:37" s="43" customFormat="1" ht="19.5" customHeight="1">
      <c r="A15" s="39"/>
      <c r="B15" s="49"/>
      <c r="C15" s="796"/>
      <c r="D15" s="477" t="s">
        <v>100</v>
      </c>
      <c r="E15" s="477" t="s">
        <v>118</v>
      </c>
      <c r="F15" s="477" t="s">
        <v>119</v>
      </c>
      <c r="G15" s="668" t="s">
        <v>103</v>
      </c>
      <c r="H15" s="668"/>
      <c r="I15" s="373" t="s">
        <v>104</v>
      </c>
      <c r="J15" s="699"/>
      <c r="K15" s="321"/>
      <c r="L15" s="95"/>
      <c r="M15" s="39"/>
      <c r="N15" s="39"/>
      <c r="O15" s="39"/>
      <c r="P15" s="39"/>
      <c r="Q15" s="39"/>
      <c r="R15" s="39"/>
      <c r="S15" s="65">
        <f>IF(O5="Yes-Required",15,0)</f>
        <v>15</v>
      </c>
      <c r="T15" s="65">
        <v>0.3</v>
      </c>
      <c r="U15" s="332">
        <v>5286</v>
      </c>
      <c r="V15" s="39"/>
      <c r="W15" s="39"/>
      <c r="X15" s="39"/>
      <c r="Y15" s="39"/>
      <c r="Z15" s="41"/>
      <c r="AA15" s="42"/>
      <c r="AB15" s="42"/>
      <c r="AC15" s="322" t="s">
        <v>327</v>
      </c>
      <c r="AD15" s="42">
        <v>0</v>
      </c>
      <c r="AE15" s="42">
        <v>2500</v>
      </c>
      <c r="AF15" s="324" t="s">
        <v>336</v>
      </c>
      <c r="AG15" s="324">
        <f>IF((D12+F12)&lt;1000001,-10,0)</f>
        <v>0</v>
      </c>
      <c r="AH15" s="324" t="s">
        <v>396</v>
      </c>
      <c r="AI15" s="324">
        <f>IF(D12&gt;1999999,10,0)</f>
        <v>0</v>
      </c>
      <c r="AJ15" s="342">
        <f>AJ14+10000</f>
        <v>120000</v>
      </c>
      <c r="AK15" s="42"/>
    </row>
    <row r="16" spans="1:37" s="43" customFormat="1" ht="19.5" customHeight="1">
      <c r="A16" s="39"/>
      <c r="B16" s="49"/>
      <c r="C16" s="796"/>
      <c r="D16" s="672" t="s">
        <v>478</v>
      </c>
      <c r="E16" s="680">
        <v>4</v>
      </c>
      <c r="F16" s="667">
        <v>0</v>
      </c>
      <c r="G16" s="690">
        <v>20</v>
      </c>
      <c r="H16" s="690"/>
      <c r="I16" s="671">
        <v>36</v>
      </c>
      <c r="J16" s="699"/>
      <c r="K16" s="321"/>
      <c r="L16" s="95"/>
      <c r="M16" s="794" t="s">
        <v>447</v>
      </c>
      <c r="N16" s="495" t="s">
        <v>451</v>
      </c>
      <c r="O16" s="495" t="s">
        <v>210</v>
      </c>
      <c r="P16" s="495" t="s">
        <v>329</v>
      </c>
      <c r="Q16" s="39"/>
      <c r="R16" s="39"/>
      <c r="S16" s="68"/>
      <c r="T16" s="68" t="str">
        <f>IF(T15=0,"Not Avb","Yes-Required")</f>
        <v>Yes-Required</v>
      </c>
      <c r="U16" s="332">
        <v>9534</v>
      </c>
      <c r="V16" s="39"/>
      <c r="W16" s="95" t="s">
        <v>476</v>
      </c>
      <c r="X16" s="39"/>
      <c r="Y16" s="39"/>
      <c r="Z16" s="41"/>
      <c r="AA16" s="42"/>
      <c r="AB16" s="42"/>
      <c r="AC16" s="322" t="s">
        <v>328</v>
      </c>
      <c r="AD16" s="42">
        <v>10</v>
      </c>
      <c r="AE16" s="42">
        <v>99999</v>
      </c>
      <c r="AF16" s="324"/>
      <c r="AG16" s="324"/>
      <c r="AH16" s="324" t="s">
        <v>338</v>
      </c>
      <c r="AI16" s="324">
        <f>IF(N7="Imported",10,0)</f>
        <v>0</v>
      </c>
      <c r="AJ16" s="342">
        <f t="shared" si="0"/>
        <v>130000</v>
      </c>
      <c r="AK16" s="42"/>
    </row>
    <row r="17" spans="1:37" s="43" customFormat="1" ht="19.5" customHeight="1">
      <c r="A17" s="39"/>
      <c r="B17" s="49"/>
      <c r="C17" s="796"/>
      <c r="D17" s="672"/>
      <c r="E17" s="680"/>
      <c r="F17" s="667"/>
      <c r="G17" s="690"/>
      <c r="H17" s="690"/>
      <c r="I17" s="671"/>
      <c r="J17" s="699"/>
      <c r="K17" s="321"/>
      <c r="L17" s="95"/>
      <c r="M17" s="794"/>
      <c r="N17" s="496">
        <f>IF(AC64=0,"Not Avb",AC64)</f>
        <v>41514</v>
      </c>
      <c r="O17" s="497">
        <f>IF(AA64=0,"Not Avb",AA64)</f>
        <v>45836</v>
      </c>
      <c r="P17" s="496">
        <f>IF(AH45=0,"Not Avb",AH45)</f>
        <v>43132</v>
      </c>
      <c r="Q17" s="39"/>
      <c r="R17" s="39"/>
      <c r="S17" s="68"/>
      <c r="T17" s="68" t="str">
        <f>IF(T15=0,"Not Avb","No-Not Required")</f>
        <v>No-Not Required</v>
      </c>
      <c r="U17" s="332">
        <v>24305</v>
      </c>
      <c r="V17" s="39"/>
      <c r="W17" s="95" t="s">
        <v>478</v>
      </c>
      <c r="X17" s="39"/>
      <c r="Y17" s="39"/>
      <c r="Z17" s="41"/>
      <c r="AA17" s="42"/>
      <c r="AB17" s="42"/>
      <c r="AC17" s="42"/>
      <c r="AD17" s="42"/>
      <c r="AE17" s="42"/>
      <c r="AF17" s="141" t="s">
        <v>337</v>
      </c>
      <c r="AG17" s="141">
        <f>MAX(SUM(AG14:AG15),-15)</f>
        <v>-10</v>
      </c>
      <c r="AH17" s="141"/>
      <c r="AI17" s="141">
        <f>MIN(SUM(AI14:AI16),15)</f>
        <v>0</v>
      </c>
      <c r="AJ17" s="342">
        <f t="shared" si="0"/>
        <v>140000</v>
      </c>
      <c r="AK17" s="42"/>
    </row>
    <row r="18" spans="1:37" s="43" customFormat="1" ht="18" customHeight="1">
      <c r="A18" s="39"/>
      <c r="B18" s="49"/>
      <c r="C18" s="796"/>
      <c r="D18" s="697"/>
      <c r="E18" s="697"/>
      <c r="F18" s="697"/>
      <c r="G18" s="697"/>
      <c r="H18" s="697"/>
      <c r="I18" s="697"/>
      <c r="J18" s="699"/>
      <c r="K18" s="321"/>
      <c r="L18" s="95"/>
      <c r="M18" s="794"/>
      <c r="N18" s="495" t="s">
        <v>211</v>
      </c>
      <c r="O18" s="495" t="s">
        <v>330</v>
      </c>
      <c r="P18" s="495" t="s">
        <v>331</v>
      </c>
      <c r="Q18" s="39"/>
      <c r="R18" s="39"/>
      <c r="S18" s="68"/>
      <c r="T18" s="73"/>
      <c r="U18" s="333">
        <f>IF(G8="",U15,IF($G$8=AC13,$U$15,IF($G$8=AC14,$U$16,$U$17)))</f>
        <v>9534</v>
      </c>
      <c r="V18" s="39"/>
      <c r="W18" s="95" t="s">
        <v>477</v>
      </c>
      <c r="X18" s="39"/>
      <c r="Y18" s="39"/>
      <c r="Z18" s="41"/>
      <c r="AA18" s="42"/>
      <c r="AB18" s="42"/>
      <c r="AC18" s="42"/>
      <c r="AD18" s="42"/>
      <c r="AE18" s="77"/>
      <c r="AF18" s="77"/>
      <c r="AG18" s="77"/>
      <c r="AH18" s="77"/>
      <c r="AI18" s="77"/>
      <c r="AJ18" s="342">
        <f t="shared" si="0"/>
        <v>150000</v>
      </c>
      <c r="AK18" s="42"/>
    </row>
    <row r="19" spans="1:37" s="43" customFormat="1" ht="19.5" customHeight="1">
      <c r="A19" s="39"/>
      <c r="B19" s="49"/>
      <c r="C19" s="796"/>
      <c r="D19" s="477" t="s">
        <v>334</v>
      </c>
      <c r="E19" s="478" t="s">
        <v>95</v>
      </c>
      <c r="F19" s="477" t="s">
        <v>144</v>
      </c>
      <c r="G19" s="681" t="s">
        <v>430</v>
      </c>
      <c r="H19" s="681"/>
      <c r="I19" s="407" t="s">
        <v>431</v>
      </c>
      <c r="J19" s="699"/>
      <c r="K19" s="321"/>
      <c r="L19" s="95"/>
      <c r="M19" s="794"/>
      <c r="N19" s="497">
        <f>IF(AB64=0,"Not Avb",AB64)</f>
        <v>43671</v>
      </c>
      <c r="O19" s="497">
        <f>IF(AF45=0,"Not Avb",AF45)</f>
        <v>47452</v>
      </c>
      <c r="P19" s="497">
        <f>IF(Z64=0,"Not Avb",Z64)</f>
        <v>47991</v>
      </c>
      <c r="Q19" s="39"/>
      <c r="R19" s="39"/>
      <c r="S19" s="68">
        <f>IF(O7&gt;I16,I16,O7)</f>
        <v>36</v>
      </c>
      <c r="T19" s="39"/>
      <c r="U19" s="39"/>
      <c r="V19" s="39"/>
      <c r="W19" s="518">
        <f>V56</f>
        <v>900</v>
      </c>
      <c r="X19" s="39"/>
      <c r="Y19" s="74"/>
      <c r="Z19" s="41"/>
      <c r="AA19" s="42"/>
      <c r="AB19" s="42"/>
      <c r="AC19" s="42"/>
      <c r="AD19" s="42"/>
      <c r="AE19" s="42"/>
      <c r="AF19" s="42"/>
      <c r="AG19" s="42"/>
      <c r="AH19" s="42"/>
      <c r="AI19" s="42"/>
      <c r="AJ19" s="342">
        <f t="shared" si="0"/>
        <v>160000</v>
      </c>
      <c r="AK19" s="42"/>
    </row>
    <row r="20" spans="1:37" s="43" customFormat="1" ht="18" customHeight="1">
      <c r="A20" s="39"/>
      <c r="B20" s="49"/>
      <c r="C20" s="797"/>
      <c r="D20" s="53"/>
      <c r="E20" s="53"/>
      <c r="F20" s="53"/>
      <c r="G20" s="53"/>
      <c r="H20" s="53"/>
      <c r="I20" s="53"/>
      <c r="J20" s="700"/>
      <c r="K20" s="321"/>
      <c r="L20" s="95"/>
      <c r="M20" s="794"/>
      <c r="N20" s="495" t="s">
        <v>340</v>
      </c>
      <c r="O20" s="793" t="s">
        <v>399</v>
      </c>
      <c r="P20" s="793"/>
      <c r="Q20" s="39"/>
      <c r="R20" s="39"/>
      <c r="S20" s="39"/>
      <c r="T20" s="39"/>
      <c r="U20" s="39"/>
      <c r="V20" s="39"/>
      <c r="W20" s="39"/>
      <c r="X20" s="39"/>
      <c r="Y20" s="74"/>
      <c r="Z20" s="41"/>
      <c r="AA20" s="77"/>
      <c r="AB20" s="77"/>
      <c r="AC20" s="77"/>
      <c r="AD20" s="77"/>
      <c r="AE20" s="42"/>
      <c r="AF20" s="42"/>
      <c r="AG20" s="42"/>
      <c r="AH20" s="42"/>
      <c r="AI20" s="42"/>
      <c r="AJ20" s="342">
        <f t="shared" si="0"/>
        <v>170000</v>
      </c>
      <c r="AK20" s="42"/>
    </row>
    <row r="21" spans="1:37" s="43" customFormat="1" ht="19.5" customHeight="1">
      <c r="A21" s="39"/>
      <c r="B21" s="691" t="s">
        <v>339</v>
      </c>
      <c r="C21" s="692"/>
      <c r="D21" s="692"/>
      <c r="E21" s="692"/>
      <c r="F21" s="692"/>
      <c r="G21" s="692"/>
      <c r="H21" s="692"/>
      <c r="I21" s="692"/>
      <c r="J21" s="692"/>
      <c r="K21" s="327"/>
      <c r="L21" s="95"/>
      <c r="M21" s="794"/>
      <c r="N21" s="497">
        <f>IF(AG45=0,"Not Avb",AG45)</f>
        <v>45287</v>
      </c>
      <c r="O21" s="498"/>
      <c r="P21" s="499">
        <f>IF(AE45=0,"Not Avb",AE45)</f>
        <v>49609</v>
      </c>
      <c r="Q21" s="39"/>
      <c r="R21" s="39"/>
      <c r="S21" s="95">
        <f>(IF($O$7=0,MIN($P$7,$I$16),MIN($O$7,$P$7,$I$16)))</f>
        <v>36</v>
      </c>
      <c r="T21" s="39"/>
      <c r="U21" s="39"/>
      <c r="V21" s="39"/>
      <c r="W21" s="39"/>
      <c r="X21" s="39"/>
      <c r="Y21" s="74"/>
      <c r="Z21" s="41"/>
      <c r="AA21" s="77"/>
      <c r="AB21" s="77"/>
      <c r="AC21" s="77"/>
      <c r="AD21" s="77"/>
      <c r="AE21" s="42"/>
      <c r="AF21" s="42"/>
      <c r="AG21" s="42"/>
      <c r="AH21" s="42"/>
      <c r="AI21" s="42"/>
      <c r="AJ21" s="342">
        <f t="shared" si="0"/>
        <v>180000</v>
      </c>
      <c r="AK21" s="42"/>
    </row>
    <row r="22" spans="1:37" s="78" customFormat="1" ht="9" customHeight="1">
      <c r="A22" s="75"/>
      <c r="B22" s="75"/>
      <c r="C22" s="75"/>
      <c r="D22" s="75"/>
      <c r="E22" s="75"/>
      <c r="F22" s="75"/>
      <c r="G22" s="75"/>
      <c r="H22" s="75"/>
      <c r="I22" s="75"/>
      <c r="J22" s="75"/>
      <c r="K22" s="75"/>
      <c r="L22" s="39"/>
      <c r="M22" s="39"/>
      <c r="N22" s="39"/>
      <c r="O22" s="39"/>
      <c r="P22" s="39"/>
      <c r="Q22" s="39"/>
      <c r="R22" s="39"/>
      <c r="S22" s="39"/>
      <c r="T22" s="39"/>
      <c r="U22" s="39"/>
      <c r="V22" s="74"/>
      <c r="W22" s="39"/>
      <c r="X22" s="39"/>
      <c r="Y22" s="74"/>
      <c r="Z22" s="41"/>
      <c r="AA22" s="77"/>
      <c r="AB22" s="77"/>
      <c r="AC22" s="77"/>
      <c r="AD22" s="77"/>
      <c r="AE22" s="42"/>
      <c r="AF22" s="42"/>
      <c r="AG22" s="42"/>
      <c r="AH22" s="42"/>
      <c r="AI22" s="42"/>
      <c r="AJ22" s="342">
        <f t="shared" si="0"/>
        <v>190000</v>
      </c>
      <c r="AK22" s="42"/>
    </row>
    <row r="23" spans="1:37" s="78" customFormat="1" ht="20.25" customHeight="1">
      <c r="A23" s="75"/>
      <c r="B23" s="75"/>
      <c r="C23" s="75"/>
      <c r="D23" s="75"/>
      <c r="E23" s="75"/>
      <c r="F23" s="75"/>
      <c r="G23" s="75"/>
      <c r="H23" s="75"/>
      <c r="I23" s="75"/>
      <c r="J23" s="75"/>
      <c r="K23" s="75"/>
      <c r="L23" s="39"/>
      <c r="M23" s="39"/>
      <c r="N23" s="39"/>
      <c r="O23" s="39"/>
      <c r="P23" s="39"/>
      <c r="Q23" s="39"/>
      <c r="R23" s="39"/>
      <c r="S23" s="39"/>
      <c r="T23" s="39"/>
      <c r="U23" s="95"/>
      <c r="V23" s="74"/>
      <c r="W23" s="80"/>
      <c r="X23" s="39"/>
      <c r="Y23" s="74"/>
      <c r="Z23" s="41"/>
      <c r="AA23" s="77"/>
      <c r="AB23" s="77"/>
      <c r="AC23" s="77"/>
      <c r="AD23" s="77"/>
      <c r="AE23" s="42"/>
      <c r="AF23" s="42"/>
      <c r="AG23" s="42"/>
      <c r="AH23" s="42"/>
      <c r="AI23" s="42"/>
      <c r="AJ23" s="342">
        <f t="shared" si="0"/>
        <v>200000</v>
      </c>
      <c r="AK23" s="42"/>
    </row>
    <row r="24" spans="1:37" s="43" customFormat="1" ht="27" customHeight="1">
      <c r="A24" s="79"/>
      <c r="B24" s="614">
        <f ca="1">TODAY()</f>
        <v>43469</v>
      </c>
      <c r="C24" s="614"/>
      <c r="D24" s="614"/>
      <c r="E24" s="614"/>
      <c r="F24" s="614"/>
      <c r="G24" s="614"/>
      <c r="H24" s="614"/>
      <c r="I24" s="614"/>
      <c r="J24" s="614"/>
      <c r="K24" s="614"/>
      <c r="L24" s="39"/>
      <c r="M24" s="39"/>
      <c r="N24" s="39"/>
      <c r="O24" s="39"/>
      <c r="P24" s="39"/>
      <c r="Q24" s="39"/>
      <c r="R24" s="39"/>
      <c r="S24" s="39"/>
      <c r="T24" s="39"/>
      <c r="U24" s="95"/>
      <c r="V24" s="39"/>
      <c r="W24" s="81"/>
      <c r="X24" s="39"/>
      <c r="Y24" s="39"/>
      <c r="Z24" s="41"/>
      <c r="AA24" s="77"/>
      <c r="AB24" s="77"/>
      <c r="AC24" s="39"/>
      <c r="AD24" s="42"/>
      <c r="AE24" s="42"/>
      <c r="AF24" s="42"/>
      <c r="AG24" s="42"/>
      <c r="AH24" s="42"/>
      <c r="AI24" s="42"/>
      <c r="AJ24" s="42"/>
      <c r="AK24" s="42"/>
    </row>
    <row r="25" spans="1:37" s="43" customFormat="1" ht="27" customHeight="1">
      <c r="A25" s="79"/>
      <c r="B25" s="617" t="s">
        <v>9</v>
      </c>
      <c r="C25" s="617"/>
      <c r="D25" s="617"/>
      <c r="E25" s="617"/>
      <c r="F25" s="617"/>
      <c r="G25" s="617"/>
      <c r="H25" s="617"/>
      <c r="I25" s="617"/>
      <c r="J25" s="617"/>
      <c r="K25" s="617"/>
      <c r="L25" s="39"/>
      <c r="M25" s="39"/>
      <c r="N25" s="39"/>
      <c r="O25" s="39"/>
      <c r="P25" s="39"/>
      <c r="Q25" s="39"/>
      <c r="R25" s="39"/>
      <c r="S25" s="39"/>
      <c r="T25" s="39"/>
      <c r="U25" s="95"/>
      <c r="V25" s="39"/>
      <c r="W25" s="80"/>
      <c r="X25" s="39"/>
      <c r="Y25" s="39"/>
      <c r="Z25" s="39"/>
      <c r="AA25" s="39"/>
      <c r="AB25" s="39"/>
      <c r="AC25" s="39"/>
      <c r="AD25" s="42"/>
      <c r="AE25" s="42"/>
      <c r="AF25" s="42"/>
      <c r="AG25" s="42"/>
      <c r="AH25" s="42"/>
      <c r="AI25" s="42"/>
      <c r="AJ25" s="42"/>
      <c r="AK25" s="42"/>
    </row>
    <row r="26" spans="1:37" s="43" customFormat="1" ht="27" customHeight="1">
      <c r="A26" s="79"/>
      <c r="B26" s="604" t="str">
        <f>Sign!F4</f>
        <v>DO-VI, Begumpet, Hyderabad - 500 016</v>
      </c>
      <c r="C26" s="604"/>
      <c r="D26" s="604"/>
      <c r="E26" s="604"/>
      <c r="F26" s="604"/>
      <c r="G26" s="604"/>
      <c r="H26" s="604"/>
      <c r="I26" s="604"/>
      <c r="J26" s="604"/>
      <c r="K26" s="604"/>
      <c r="L26" s="39"/>
      <c r="M26" s="39"/>
      <c r="N26" s="39"/>
      <c r="O26" s="39"/>
      <c r="P26" s="39"/>
      <c r="Q26" s="39"/>
      <c r="R26" s="39"/>
      <c r="S26" s="39"/>
      <c r="T26" s="39"/>
      <c r="U26" s="39"/>
      <c r="V26" s="39"/>
      <c r="W26" s="86"/>
      <c r="X26" s="39"/>
      <c r="Y26" s="39"/>
      <c r="Z26" s="39"/>
      <c r="AA26" s="39"/>
      <c r="AB26" s="39"/>
      <c r="AC26" s="39"/>
      <c r="AD26" s="42"/>
      <c r="AE26" s="42"/>
      <c r="AF26" s="42"/>
      <c r="AG26" s="42"/>
      <c r="AH26" s="42"/>
      <c r="AI26" s="42"/>
      <c r="AJ26" s="42"/>
      <c r="AK26" s="42"/>
    </row>
    <row r="27" spans="1:37" s="43" customFormat="1" ht="20.25" customHeight="1">
      <c r="A27" s="79"/>
      <c r="B27" s="82"/>
      <c r="C27" s="788" t="str">
        <f>CONCATENATE("Private Car Premium Quote - ",VLOOKUP(I5,S4:T6,2,0))</f>
        <v>Private Car Premium Quote - Long Term - Bundled Policy - 1 Year OD and 3 Years TP</v>
      </c>
      <c r="D27" s="788"/>
      <c r="E27" s="788"/>
      <c r="F27" s="788"/>
      <c r="G27" s="788"/>
      <c r="H27" s="788"/>
      <c r="I27" s="788"/>
      <c r="J27" s="788"/>
      <c r="K27" s="789"/>
      <c r="L27" s="39"/>
      <c r="M27" s="39"/>
      <c r="N27" s="790" t="s">
        <v>392</v>
      </c>
      <c r="O27" s="791"/>
      <c r="P27" s="792"/>
      <c r="Q27" s="39"/>
      <c r="R27" s="39"/>
      <c r="S27" s="39"/>
      <c r="T27" s="39"/>
      <c r="U27" s="39"/>
      <c r="V27" s="74"/>
      <c r="W27" s="86"/>
      <c r="X27" s="39"/>
      <c r="Y27" s="74"/>
      <c r="Z27" s="74"/>
      <c r="AA27" s="42"/>
      <c r="AB27" s="42"/>
      <c r="AC27" s="39"/>
      <c r="AD27" s="42"/>
      <c r="AE27" s="42"/>
      <c r="AF27" s="42"/>
      <c r="AG27" s="42"/>
      <c r="AH27" s="42"/>
      <c r="AI27" s="42"/>
      <c r="AJ27" s="42"/>
      <c r="AK27" s="42"/>
    </row>
    <row r="28" spans="1:37" s="43" customFormat="1" ht="7.5" customHeight="1">
      <c r="A28" s="79"/>
      <c r="B28" s="83"/>
      <c r="C28" s="84"/>
      <c r="D28" s="84"/>
      <c r="E28" s="84"/>
      <c r="F28" s="84"/>
      <c r="G28" s="84"/>
      <c r="H28" s="84"/>
      <c r="I28" s="84"/>
      <c r="J28" s="84"/>
      <c r="K28" s="85"/>
      <c r="L28" s="39"/>
      <c r="M28" s="39"/>
      <c r="N28" s="39"/>
      <c r="O28" s="39"/>
      <c r="P28" s="39"/>
      <c r="Q28" s="39"/>
      <c r="R28" s="39"/>
      <c r="S28" s="39"/>
      <c r="T28" s="39"/>
      <c r="U28" s="39"/>
      <c r="V28" s="74"/>
      <c r="W28" s="86"/>
      <c r="X28" s="39"/>
      <c r="Y28" s="74"/>
      <c r="Z28" s="74"/>
      <c r="AA28" s="42"/>
      <c r="AB28" s="42"/>
      <c r="AC28" s="39"/>
      <c r="AD28" s="42"/>
      <c r="AE28" s="42"/>
      <c r="AF28" s="42"/>
      <c r="AG28" s="42"/>
      <c r="AH28" s="42"/>
      <c r="AI28" s="42"/>
      <c r="AJ28" s="42"/>
      <c r="AK28" s="42"/>
    </row>
    <row r="29" spans="1:37" s="43" customFormat="1" ht="18" customHeight="1">
      <c r="A29" s="75"/>
      <c r="B29" s="83"/>
      <c r="C29" s="84"/>
      <c r="D29" s="652" t="s">
        <v>462</v>
      </c>
      <c r="E29" s="652"/>
      <c r="F29" s="652"/>
      <c r="G29" s="88" t="s">
        <v>106</v>
      </c>
      <c r="H29" s="652" t="str">
        <f>E5</f>
        <v>Mr. Gogulamudi Lingachari</v>
      </c>
      <c r="I29" s="652"/>
      <c r="J29" s="89"/>
      <c r="K29" s="90"/>
      <c r="L29" s="39"/>
      <c r="M29" s="39"/>
      <c r="N29" s="666" t="s">
        <v>395</v>
      </c>
      <c r="O29" s="666"/>
      <c r="P29" s="379">
        <f>D12+F12</f>
        <v>1189197</v>
      </c>
      <c r="Q29" s="39"/>
      <c r="R29" s="39"/>
      <c r="S29" s="39"/>
      <c r="T29" s="39"/>
      <c r="U29" s="95"/>
      <c r="V29" s="74"/>
      <c r="W29" s="86"/>
      <c r="X29" s="39"/>
      <c r="Y29" s="74"/>
      <c r="Z29" s="74"/>
      <c r="AA29" s="42"/>
      <c r="AB29" s="42"/>
      <c r="AC29" s="39"/>
      <c r="AD29" s="42"/>
      <c r="AE29" s="42"/>
      <c r="AF29" s="42"/>
      <c r="AG29" s="42"/>
      <c r="AH29" s="42"/>
      <c r="AI29" s="42"/>
      <c r="AJ29" s="42"/>
      <c r="AK29" s="42"/>
    </row>
    <row r="30" spans="1:37" s="43" customFormat="1" ht="18" customHeight="1">
      <c r="A30" s="75"/>
      <c r="B30" s="83"/>
      <c r="C30" s="84"/>
      <c r="D30" s="652" t="s">
        <v>107</v>
      </c>
      <c r="E30" s="652"/>
      <c r="F30" s="652"/>
      <c r="G30" s="88" t="s">
        <v>106</v>
      </c>
      <c r="H30" s="652" t="str">
        <f>(D8)</f>
        <v>For Registration</v>
      </c>
      <c r="I30" s="652"/>
      <c r="J30" s="89"/>
      <c r="K30" s="90"/>
      <c r="L30" s="39"/>
      <c r="M30" s="39"/>
      <c r="N30" s="701" t="str">
        <f>CONCATENATE("EPC Rate for ",IF(N6="Fuel - Diesel","Diesel Engine","Other Engine"))</f>
        <v>EPC Rate for Other Engine</v>
      </c>
      <c r="O30" s="701"/>
      <c r="P30" s="380">
        <f>IF(N6="Fuel - Diesel",AE12,AD12)</f>
        <v>0.16</v>
      </c>
      <c r="Q30" s="39"/>
      <c r="R30" s="39"/>
      <c r="S30" s="39"/>
      <c r="T30" s="39"/>
      <c r="U30" s="39"/>
      <c r="V30" s="74">
        <f>IF(O5="W/o Ren Disc","NDP, ",IF(O5="W/o Ren Disc","NDP, ",""))</f>
      </c>
      <c r="W30" s="86"/>
      <c r="X30" s="39"/>
      <c r="Y30" s="74"/>
      <c r="Z30" s="74"/>
      <c r="AA30" s="42"/>
      <c r="AB30" s="42"/>
      <c r="AC30" s="39"/>
      <c r="AD30" s="42"/>
      <c r="AE30" s="42"/>
      <c r="AF30" s="42"/>
      <c r="AG30" s="42"/>
      <c r="AH30" s="42"/>
      <c r="AI30" s="42"/>
      <c r="AJ30" s="42"/>
      <c r="AK30" s="42"/>
    </row>
    <row r="31" spans="1:37" s="43" customFormat="1" ht="18" customHeight="1">
      <c r="A31" s="75"/>
      <c r="B31" s="83"/>
      <c r="C31" s="84"/>
      <c r="D31" s="652" t="s">
        <v>108</v>
      </c>
      <c r="E31" s="652"/>
      <c r="F31" s="652"/>
      <c r="G31" s="88" t="s">
        <v>106</v>
      </c>
      <c r="H31" s="652" t="str">
        <f>PROPER(E8)</f>
        <v>Honda City 1.5</v>
      </c>
      <c r="I31" s="652"/>
      <c r="J31" s="89"/>
      <c r="K31" s="90"/>
      <c r="L31" s="39"/>
      <c r="M31" s="39"/>
      <c r="N31" s="701" t="s">
        <v>393</v>
      </c>
      <c r="O31" s="701"/>
      <c r="P31" s="380">
        <f>ROUND(P29*P30%,)</f>
        <v>1903</v>
      </c>
      <c r="Q31" s="39"/>
      <c r="R31" s="39"/>
      <c r="S31" s="39"/>
      <c r="T31" s="39"/>
      <c r="U31" s="39"/>
      <c r="V31" s="74" t="str">
        <f>IF(N5="Yes-Required","EPC, ","")</f>
        <v>EPC, </v>
      </c>
      <c r="W31" s="86"/>
      <c r="X31" s="39"/>
      <c r="Y31" s="74"/>
      <c r="Z31" s="41"/>
      <c r="AA31" s="42"/>
      <c r="AB31" s="42"/>
      <c r="AC31" s="39"/>
      <c r="AD31" s="42"/>
      <c r="AE31" s="42"/>
      <c r="AF31" s="42"/>
      <c r="AG31" s="42"/>
      <c r="AH31" s="42"/>
      <c r="AI31" s="42"/>
      <c r="AJ31" s="42"/>
      <c r="AK31" s="42"/>
    </row>
    <row r="32" spans="1:37" s="43" customFormat="1" ht="18" customHeight="1">
      <c r="A32" s="75"/>
      <c r="B32" s="83"/>
      <c r="C32" s="84"/>
      <c r="D32" s="652" t="s">
        <v>109</v>
      </c>
      <c r="E32" s="652"/>
      <c r="F32" s="652"/>
      <c r="G32" s="88" t="s">
        <v>106</v>
      </c>
      <c r="H32" s="652" t="str">
        <f>I5</f>
        <v>Bundled Policy</v>
      </c>
      <c r="I32" s="652"/>
      <c r="J32" s="89"/>
      <c r="K32" s="90"/>
      <c r="L32" s="39"/>
      <c r="M32" s="39"/>
      <c r="N32" s="701" t="str">
        <f>IF(G16&gt;0,CONCATENATE("Less: NCB Disc @ ",G16,"% on Above"),"Less: NCB Disc, If Eligible")</f>
        <v>Less: NCB Disc @ 20% on Above</v>
      </c>
      <c r="O32" s="701"/>
      <c r="P32" s="380">
        <f>-P31*G16%</f>
        <v>-380.6</v>
      </c>
      <c r="Q32" s="39"/>
      <c r="R32" s="39"/>
      <c r="S32" s="39"/>
      <c r="T32" s="39"/>
      <c r="U32" s="39"/>
      <c r="V32" s="74" t="str">
        <f>IF(P5="Yes-Required","RTI","")</f>
        <v>RTI</v>
      </c>
      <c r="W32" s="86"/>
      <c r="X32" s="39"/>
      <c r="Y32" s="74"/>
      <c r="Z32" s="41"/>
      <c r="AA32" s="42"/>
      <c r="AB32" s="42"/>
      <c r="AC32" s="39"/>
      <c r="AD32" s="42"/>
      <c r="AE32" s="42"/>
      <c r="AF32" s="42"/>
      <c r="AG32" s="42"/>
      <c r="AH32" s="42"/>
      <c r="AI32" s="42"/>
      <c r="AJ32" s="42"/>
      <c r="AK32" s="42"/>
    </row>
    <row r="33" spans="1:37" s="43" customFormat="1" ht="18" customHeight="1">
      <c r="A33" s="75"/>
      <c r="B33" s="83"/>
      <c r="C33" s="84"/>
      <c r="D33" s="652" t="s">
        <v>472</v>
      </c>
      <c r="E33" s="652"/>
      <c r="F33" s="652"/>
      <c r="G33" s="88" t="s">
        <v>106</v>
      </c>
      <c r="H33" s="653">
        <f>D12</f>
        <v>1081089</v>
      </c>
      <c r="I33" s="653"/>
      <c r="J33" s="89"/>
      <c r="K33" s="90"/>
      <c r="L33" s="39"/>
      <c r="M33" s="39"/>
      <c r="N33" s="702"/>
      <c r="O33" s="702"/>
      <c r="P33" s="381">
        <f>P31+P32</f>
        <v>1522.4</v>
      </c>
      <c r="Q33" s="39"/>
      <c r="R33" s="39"/>
      <c r="S33" s="39"/>
      <c r="T33" s="39"/>
      <c r="U33" s="39"/>
      <c r="V33" s="39"/>
      <c r="W33" s="86"/>
      <c r="X33" s="39"/>
      <c r="Y33" s="74"/>
      <c r="Z33" s="41"/>
      <c r="AA33" s="42"/>
      <c r="AB33" s="42"/>
      <c r="AC33" s="39"/>
      <c r="AD33" s="42"/>
      <c r="AE33" s="42"/>
      <c r="AF33" s="42"/>
      <c r="AG33" s="42"/>
      <c r="AH33" s="42"/>
      <c r="AI33" s="42"/>
      <c r="AJ33" s="42"/>
      <c r="AK33" s="42"/>
    </row>
    <row r="34" spans="1:37" s="43" customFormat="1" ht="18" customHeight="1">
      <c r="A34" s="75"/>
      <c r="B34" s="83"/>
      <c r="C34" s="84"/>
      <c r="D34" s="652" t="s">
        <v>110</v>
      </c>
      <c r="E34" s="652"/>
      <c r="F34" s="652"/>
      <c r="G34" s="88" t="s">
        <v>106</v>
      </c>
      <c r="H34" s="653">
        <f>E12</f>
        <v>108108</v>
      </c>
      <c r="I34" s="653"/>
      <c r="J34" s="89"/>
      <c r="K34" s="90"/>
      <c r="L34" s="39"/>
      <c r="M34" s="39"/>
      <c r="N34" s="701" t="str">
        <f>CONCATENATE("Discount for Engine CC &lt; 1500 @ ",-AG14,"%")</f>
        <v>Discount for Engine CC &lt; 1500 @ 10%</v>
      </c>
      <c r="O34" s="701"/>
      <c r="P34" s="380"/>
      <c r="Q34" s="39"/>
      <c r="R34" s="39"/>
      <c r="S34" s="39"/>
      <c r="T34" s="39"/>
      <c r="U34" s="39"/>
      <c r="V34" s="74"/>
      <c r="W34" s="86"/>
      <c r="X34" s="39"/>
      <c r="Y34" s="74"/>
      <c r="Z34" s="41"/>
      <c r="AA34" s="42"/>
      <c r="AB34" s="42"/>
      <c r="AC34" s="39"/>
      <c r="AD34" s="42"/>
      <c r="AE34" s="42"/>
      <c r="AF34" s="42"/>
      <c r="AG34" s="42"/>
      <c r="AH34" s="42"/>
      <c r="AI34" s="42"/>
      <c r="AJ34" s="42"/>
      <c r="AK34" s="42"/>
    </row>
    <row r="35" spans="1:37" s="43" customFormat="1" ht="18" customHeight="1">
      <c r="A35" s="75"/>
      <c r="B35" s="83"/>
      <c r="C35" s="84"/>
      <c r="D35" s="652" t="s">
        <v>111</v>
      </c>
      <c r="E35" s="652"/>
      <c r="F35" s="652"/>
      <c r="G35" s="88" t="s">
        <v>106</v>
      </c>
      <c r="H35" s="653">
        <f>F12</f>
        <v>108108</v>
      </c>
      <c r="I35" s="653"/>
      <c r="J35" s="89"/>
      <c r="K35" s="90"/>
      <c r="L35" s="39"/>
      <c r="M35" s="39"/>
      <c r="N35" s="701" t="str">
        <f>CONCATENATE("Discount for IDV &lt; 10 Lac @ ",-AG15,"%")</f>
        <v>Discount for IDV &lt; 10 Lac @ 0%</v>
      </c>
      <c r="O35" s="701"/>
      <c r="P35" s="380"/>
      <c r="Q35" s="39"/>
      <c r="R35" s="39"/>
      <c r="S35" s="39"/>
      <c r="T35" s="39"/>
      <c r="U35" s="39"/>
      <c r="V35" s="74"/>
      <c r="W35" s="86"/>
      <c r="X35" s="39"/>
      <c r="Y35" s="74"/>
      <c r="Z35" s="41"/>
      <c r="AA35" s="42"/>
      <c r="AB35" s="42"/>
      <c r="AC35" s="39"/>
      <c r="AD35" s="42"/>
      <c r="AE35" s="42"/>
      <c r="AF35" s="42"/>
      <c r="AG35" s="42"/>
      <c r="AH35" s="42"/>
      <c r="AI35" s="42"/>
      <c r="AJ35" s="42"/>
      <c r="AK35" s="42"/>
    </row>
    <row r="36" spans="1:37" s="43" customFormat="1" ht="18" customHeight="1">
      <c r="A36" s="75"/>
      <c r="B36" s="83"/>
      <c r="C36" s="84"/>
      <c r="D36" s="652" t="s">
        <v>122</v>
      </c>
      <c r="E36" s="652"/>
      <c r="F36" s="652"/>
      <c r="G36" s="88" t="s">
        <v>106</v>
      </c>
      <c r="H36" s="653">
        <f>I12</f>
        <v>108108</v>
      </c>
      <c r="I36" s="653"/>
      <c r="J36" s="89"/>
      <c r="K36" s="90"/>
      <c r="L36" s="39"/>
      <c r="M36" s="39"/>
      <c r="N36" s="701" t="str">
        <f>CONCATENATE("Aggregate Discount (Max) @ ",-AG17,"%")</f>
        <v>Aggregate Discount (Max) @ 10%</v>
      </c>
      <c r="O36" s="701"/>
      <c r="P36" s="380">
        <f>P33*AG17%</f>
        <v>-152.24</v>
      </c>
      <c r="Q36" s="39"/>
      <c r="R36" s="39"/>
      <c r="S36" s="39"/>
      <c r="T36" s="39"/>
      <c r="U36" s="39"/>
      <c r="V36" s="74"/>
      <c r="W36" s="86"/>
      <c r="X36" s="39"/>
      <c r="Y36" s="74"/>
      <c r="Z36" s="41"/>
      <c r="AA36" s="42"/>
      <c r="AB36" s="42"/>
      <c r="AC36" s="39"/>
      <c r="AD36" s="42"/>
      <c r="AE36" s="42"/>
      <c r="AF36" s="42"/>
      <c r="AG36" s="42"/>
      <c r="AH36" s="42"/>
      <c r="AI36" s="42"/>
      <c r="AJ36" s="42"/>
      <c r="AK36" s="42"/>
    </row>
    <row r="37" spans="1:37" s="43" customFormat="1" ht="18" customHeight="1">
      <c r="A37" s="75"/>
      <c r="B37" s="83"/>
      <c r="C37" s="84"/>
      <c r="D37" s="652" t="s">
        <v>112</v>
      </c>
      <c r="E37" s="652"/>
      <c r="F37" s="652"/>
      <c r="G37" s="88" t="s">
        <v>106</v>
      </c>
      <c r="H37" s="654" t="str">
        <f>G8</f>
        <v>1001 - 1500 CC</v>
      </c>
      <c r="I37" s="654"/>
      <c r="J37" s="89"/>
      <c r="K37" s="90"/>
      <c r="L37" s="39"/>
      <c r="M37" s="39"/>
      <c r="N37" s="702"/>
      <c r="O37" s="702"/>
      <c r="P37" s="381">
        <f>P33+P36</f>
        <v>1370.16</v>
      </c>
      <c r="Q37" s="39"/>
      <c r="R37" s="39"/>
      <c r="S37" s="39"/>
      <c r="T37" s="39"/>
      <c r="U37" s="39"/>
      <c r="V37" s="74"/>
      <c r="W37" s="91"/>
      <c r="X37" s="39"/>
      <c r="Y37" s="74"/>
      <c r="Z37" s="41"/>
      <c r="AA37" s="42"/>
      <c r="AB37" s="42"/>
      <c r="AC37" s="39"/>
      <c r="AD37" s="42"/>
      <c r="AE37" s="42"/>
      <c r="AF37" s="42"/>
      <c r="AG37" s="42"/>
      <c r="AH37" s="42"/>
      <c r="AI37" s="42"/>
      <c r="AJ37" s="42"/>
      <c r="AK37" s="42"/>
    </row>
    <row r="38" spans="1:37" s="43" customFormat="1" ht="18" customHeight="1">
      <c r="A38" s="75"/>
      <c r="B38" s="83"/>
      <c r="C38" s="84"/>
      <c r="D38" s="652" t="s">
        <v>113</v>
      </c>
      <c r="E38" s="652"/>
      <c r="F38" s="652"/>
      <c r="G38" s="88" t="s">
        <v>106</v>
      </c>
      <c r="H38" s="655" t="str">
        <f>IF(F8&lt;0.51,"New Vehicle",F8)</f>
        <v>New Vehicle</v>
      </c>
      <c r="I38" s="655"/>
      <c r="J38" s="89"/>
      <c r="K38" s="90"/>
      <c r="L38" s="39"/>
      <c r="M38" s="39"/>
      <c r="N38" s="704" t="str">
        <f>CONCATENATE("Loading for Imported Vehicle @ ",AI16,"%")</f>
        <v>Loading for Imported Vehicle @ 0%</v>
      </c>
      <c r="O38" s="704"/>
      <c r="P38" s="380"/>
      <c r="Q38" s="39"/>
      <c r="R38" s="39"/>
      <c r="S38" s="39"/>
      <c r="T38" s="39"/>
      <c r="U38" s="39"/>
      <c r="V38" s="74"/>
      <c r="W38" s="39"/>
      <c r="X38" s="39"/>
      <c r="Y38" s="74"/>
      <c r="Z38" s="41"/>
      <c r="AA38" s="42"/>
      <c r="AB38" s="42"/>
      <c r="AC38" s="39"/>
      <c r="AD38" s="42"/>
      <c r="AE38" s="42"/>
      <c r="AF38" s="42"/>
      <c r="AG38" s="42"/>
      <c r="AH38" s="42"/>
      <c r="AI38" s="42"/>
      <c r="AJ38" s="42"/>
      <c r="AK38" s="42"/>
    </row>
    <row r="39" spans="1:44" s="43" customFormat="1" ht="18" customHeight="1">
      <c r="A39" s="75"/>
      <c r="B39" s="83"/>
      <c r="C39" s="84"/>
      <c r="D39" s="652" t="s">
        <v>114</v>
      </c>
      <c r="E39" s="652"/>
      <c r="F39" s="652"/>
      <c r="G39" s="88" t="s">
        <v>106</v>
      </c>
      <c r="H39" s="652" t="str">
        <f>I8</f>
        <v>Zone:  A</v>
      </c>
      <c r="I39" s="652"/>
      <c r="J39" s="89"/>
      <c r="K39" s="90"/>
      <c r="L39" s="39"/>
      <c r="M39" s="39"/>
      <c r="N39" s="704" t="str">
        <f>CONCATENATE("Loading for Engine CC &gt; 2500 @ ",AI14,"%")</f>
        <v>Loading for Engine CC &gt; 2500 @ 0%</v>
      </c>
      <c r="O39" s="704"/>
      <c r="P39" s="380"/>
      <c r="Q39" s="39"/>
      <c r="R39" s="39"/>
      <c r="S39" s="39"/>
      <c r="T39" s="39"/>
      <c r="U39" s="39"/>
      <c r="V39" s="74"/>
      <c r="W39" s="39"/>
      <c r="X39" s="39"/>
      <c r="Y39" s="74"/>
      <c r="Z39" s="779" t="s">
        <v>457</v>
      </c>
      <c r="AA39" s="779"/>
      <c r="AB39" s="779"/>
      <c r="AC39" s="779"/>
      <c r="AD39" s="779"/>
      <c r="AE39" s="779"/>
      <c r="AF39" s="779"/>
      <c r="AG39" s="779"/>
      <c r="AH39" s="779"/>
      <c r="AI39" s="42"/>
      <c r="AJ39" s="779" t="s">
        <v>458</v>
      </c>
      <c r="AK39" s="779"/>
      <c r="AL39" s="779"/>
      <c r="AM39" s="779"/>
      <c r="AN39" s="779"/>
      <c r="AO39" s="779"/>
      <c r="AP39" s="779"/>
      <c r="AQ39" s="779"/>
      <c r="AR39" s="779"/>
    </row>
    <row r="40" spans="1:44" s="43" customFormat="1" ht="18" customHeight="1">
      <c r="A40" s="75"/>
      <c r="B40" s="83"/>
      <c r="C40" s="84"/>
      <c r="D40" s="656" t="s">
        <v>115</v>
      </c>
      <c r="E40" s="656"/>
      <c r="F40" s="656"/>
      <c r="G40" s="656"/>
      <c r="H40" s="656"/>
      <c r="I40" s="656"/>
      <c r="J40" s="84"/>
      <c r="K40" s="90"/>
      <c r="L40" s="39"/>
      <c r="M40" s="39"/>
      <c r="N40" s="701" t="str">
        <f>CONCATENATE("Loading for IDV &gt; 20 Lac @ ",AI15,"%")</f>
        <v>Loading for IDV &gt; 20 Lac @ 0%</v>
      </c>
      <c r="O40" s="701"/>
      <c r="P40" s="380"/>
      <c r="Q40" s="39"/>
      <c r="R40" s="39"/>
      <c r="S40" s="39"/>
      <c r="T40" s="39"/>
      <c r="U40" s="39"/>
      <c r="V40" s="296" t="s">
        <v>213</v>
      </c>
      <c r="W40" s="87"/>
      <c r="X40" s="87"/>
      <c r="Y40" s="86"/>
      <c r="Z40" s="363" t="s">
        <v>384</v>
      </c>
      <c r="AA40" s="363" t="s">
        <v>385</v>
      </c>
      <c r="AB40" s="363" t="s">
        <v>386</v>
      </c>
      <c r="AC40" s="363" t="s">
        <v>217</v>
      </c>
      <c r="AD40" s="363" t="s">
        <v>218</v>
      </c>
      <c r="AE40" s="363" t="s">
        <v>389</v>
      </c>
      <c r="AF40" s="364" t="s">
        <v>387</v>
      </c>
      <c r="AG40" s="363" t="s">
        <v>388</v>
      </c>
      <c r="AH40" s="363" t="s">
        <v>390</v>
      </c>
      <c r="AI40" s="42"/>
      <c r="AJ40" s="363" t="s">
        <v>384</v>
      </c>
      <c r="AK40" s="363" t="s">
        <v>385</v>
      </c>
      <c r="AL40" s="363" t="s">
        <v>386</v>
      </c>
      <c r="AM40" s="363" t="s">
        <v>217</v>
      </c>
      <c r="AN40" s="363" t="s">
        <v>218</v>
      </c>
      <c r="AO40" s="363" t="s">
        <v>389</v>
      </c>
      <c r="AP40" s="364" t="s">
        <v>387</v>
      </c>
      <c r="AQ40" s="363" t="s">
        <v>388</v>
      </c>
      <c r="AR40" s="363" t="s">
        <v>390</v>
      </c>
    </row>
    <row r="41" spans="1:44" s="43" customFormat="1" ht="18" customHeight="1">
      <c r="A41" s="75"/>
      <c r="B41" s="83"/>
      <c r="C41" s="84"/>
      <c r="D41" s="657" t="str">
        <f>IF(T41&lt;24,"Basic Own Damage Premium",(VLOOKUP(T41,$U$41:$W$53,3,0)))</f>
        <v>Basic Own Damage Premium @ 3.283 % on IDV</v>
      </c>
      <c r="E41" s="657"/>
      <c r="F41" s="657"/>
      <c r="G41" s="657"/>
      <c r="H41" s="93" t="str">
        <f aca="true" t="shared" si="1" ref="H41:H53">IF(D41="","",":")</f>
        <v>:</v>
      </c>
      <c r="I41" s="94">
        <f>IF(T41&lt;24,0,VLOOKUP(T41,$U$41:$W$53,2,0))</f>
        <v>35492</v>
      </c>
      <c r="J41" s="84"/>
      <c r="K41" s="90"/>
      <c r="L41" s="39"/>
      <c r="M41" s="39"/>
      <c r="N41" s="705" t="str">
        <f>CONCATENATE("Aggregate Loading (Max) @ ",AI17,"%")</f>
        <v>Aggregate Loading (Max) @ 0%</v>
      </c>
      <c r="O41" s="705"/>
      <c r="P41" s="382">
        <f>P33*AI17%</f>
        <v>0</v>
      </c>
      <c r="Q41" s="39"/>
      <c r="R41" s="371">
        <v>1</v>
      </c>
      <c r="S41" s="370">
        <f aca="true" t="shared" si="2" ref="S41:S53">IF(V41=0,R41,U41)</f>
        <v>40</v>
      </c>
      <c r="T41" s="370">
        <f>LARGE($S$41:$S$53,ROWS(S$41:S41))</f>
        <v>40</v>
      </c>
      <c r="U41" s="370">
        <v>40</v>
      </c>
      <c r="V41" s="126">
        <f>IF($I$5="Liability Only",0,ROUND((IF(I5=S5,D12*S11%,$D$12*$S$13%)),0))</f>
        <v>35492</v>
      </c>
      <c r="W41" s="99" t="str">
        <f>IF(V41=0,"Basic Own Damage Premium",CONCATENATE("Basic Own Damage Premium @ ",(IF(I5=S5,S11,S13))," % on IDV"))</f>
        <v>Basic Own Damage Premium @ 3.283 % on IDV</v>
      </c>
      <c r="X41" s="99"/>
      <c r="Y41" s="99"/>
      <c r="Z41" s="126">
        <f>($D$12*$S$13%)</f>
        <v>35492.15187</v>
      </c>
      <c r="AA41" s="126">
        <f>($D$12*$S$13%)</f>
        <v>35492.15187</v>
      </c>
      <c r="AB41" s="126">
        <f>($D$12*$S$13%)</f>
        <v>35492.15187</v>
      </c>
      <c r="AC41" s="126">
        <f>($D$12*$S$13%)</f>
        <v>35492.15187</v>
      </c>
      <c r="AD41" s="348"/>
      <c r="AE41" s="365">
        <f>IF(Z62=0,0,(Z62-AE48+AE49-AE50))</f>
        <v>40671</v>
      </c>
      <c r="AF41" s="365">
        <f>IF(AA62=0,0,(AA62-AF48+AF49-AF50))</f>
        <v>38844</v>
      </c>
      <c r="AG41" s="365">
        <f>IF(AB62=0,0,(AB62-AG48+AG49-AG50))</f>
        <v>37009</v>
      </c>
      <c r="AH41" s="365">
        <f>IF(AC62=0,0,(AC62-AH48+AH49-AH50))</f>
        <v>35182</v>
      </c>
      <c r="AI41" s="42"/>
      <c r="AJ41" s="126">
        <f>($D$12*$S$11%)</f>
        <v>53622.0144</v>
      </c>
      <c r="AK41" s="126">
        <f>($D$12*$S$11%)</f>
        <v>53622.0144</v>
      </c>
      <c r="AL41" s="126">
        <f>($D$12*$S$11%)</f>
        <v>53622.0144</v>
      </c>
      <c r="AM41" s="126">
        <f>($D$12*$S$11%)</f>
        <v>53622.0144</v>
      </c>
      <c r="AN41" s="348"/>
      <c r="AO41" s="365">
        <f>IF(AJ62=0,0,(AJ62-AO48+AO49-AO50))</f>
        <v>71908</v>
      </c>
      <c r="AP41" s="365">
        <f>IF(AK62=0,0,(AK62-AP48+AP49-AP50))</f>
        <v>61824</v>
      </c>
      <c r="AQ41" s="365">
        <f>IF(AL62=0,0,(AL62-AQ48+AQ49-AQ50))</f>
        <v>59351</v>
      </c>
      <c r="AR41" s="365">
        <f>IF(AM62=0,0,(AM62-AR48+AR49-AR50))</f>
        <v>49267</v>
      </c>
    </row>
    <row r="42" spans="1:44" s="43" customFormat="1" ht="18" customHeight="1">
      <c r="A42" s="75"/>
      <c r="B42" s="83"/>
      <c r="C42" s="84"/>
      <c r="D42" s="657" t="str">
        <f aca="true" t="shared" si="3" ref="D42:D53">IF(T42&lt;24,"",(VLOOKUP(T42,$U$41:$W$53,3,0)))</f>
        <v>Add: Prem on Ele Accessories Value @ 4%</v>
      </c>
      <c r="E42" s="657"/>
      <c r="F42" s="657"/>
      <c r="G42" s="657"/>
      <c r="H42" s="93" t="str">
        <f t="shared" si="1"/>
        <v>:</v>
      </c>
      <c r="I42" s="94">
        <f aca="true" t="shared" si="4" ref="I42:I53">IF(T42&lt;24,"",VLOOKUP(T42,$U$41:$W$53,2,0))</f>
        <v>4324.32</v>
      </c>
      <c r="J42" s="84"/>
      <c r="K42" s="90"/>
      <c r="L42" s="39"/>
      <c r="M42" s="39"/>
      <c r="N42" s="703" t="s">
        <v>394</v>
      </c>
      <c r="O42" s="703"/>
      <c r="P42" s="378">
        <f>ROUND(P37+P41,0)</f>
        <v>1370</v>
      </c>
      <c r="Q42" s="39"/>
      <c r="R42" s="371">
        <v>2</v>
      </c>
      <c r="S42" s="370">
        <f t="shared" si="2"/>
        <v>39</v>
      </c>
      <c r="T42" s="370">
        <f>LARGE($S$41:$S$53,ROWS(S$41:S42))</f>
        <v>39</v>
      </c>
      <c r="U42" s="370">
        <v>39</v>
      </c>
      <c r="V42" s="347">
        <f>IF($V$41=0,0,IF(I5=S6,$E$12*4%,IF(I5=S5,$E$12*6%,0)))</f>
        <v>4324.32</v>
      </c>
      <c r="W42" s="99" t="str">
        <f>IF(V42=0,"",CONCATENATE("Add: Prem on Ele Accessories Value @ ",(IF(I5=S5,"10%",IF(I5=S6,"4%")))))</f>
        <v>Add: Prem on Ele Accessories Value @ 4%</v>
      </c>
      <c r="X42" s="99"/>
      <c r="Y42" s="99"/>
      <c r="Z42" s="347">
        <f>IF($Z$41=0,0,$E$12*4%)</f>
        <v>4324.32</v>
      </c>
      <c r="AA42" s="347">
        <f>IF($AA$41=0,0,$E$12*4%)</f>
        <v>4324.32</v>
      </c>
      <c r="AB42" s="347">
        <f>IF($AB$41=0,0,$E$12*4%)</f>
        <v>4324.32</v>
      </c>
      <c r="AC42" s="347">
        <f>IF($AC$41=0,0,$E$12*4%)</f>
        <v>4324.32</v>
      </c>
      <c r="AD42" s="347"/>
      <c r="AE42" s="365">
        <f>IF(AE41=0,0,$P$42)</f>
        <v>1370</v>
      </c>
      <c r="AF42" s="365">
        <f>IF(AF41=0,0,$P$42)</f>
        <v>1370</v>
      </c>
      <c r="AG42" s="365">
        <f>IF(AG41=0,0,$P$42)</f>
        <v>1370</v>
      </c>
      <c r="AH42" s="365">
        <f>IF(AH41=0,0,$P$42)</f>
        <v>1370</v>
      </c>
      <c r="AI42" s="42"/>
      <c r="AJ42" s="347">
        <f>IF($AJ$61=0,0,$E$12*6%)</f>
        <v>6486.48</v>
      </c>
      <c r="AK42" s="347">
        <f>IF($AK$61=0,0,$E$12*6%)</f>
        <v>6486.48</v>
      </c>
      <c r="AL42" s="347">
        <f>IF($AL$61=0,0,$E$12*6%)</f>
        <v>6486.48</v>
      </c>
      <c r="AM42" s="347">
        <f>IF($AM$61=0,0,$E$12*6%)</f>
        <v>6486.48</v>
      </c>
      <c r="AN42" s="347"/>
      <c r="AO42" s="365">
        <f>IF(AO41=0,0,$P$42)</f>
        <v>1370</v>
      </c>
      <c r="AP42" s="365">
        <f>IF(AP41=0,0,$P$42)</f>
        <v>1370</v>
      </c>
      <c r="AQ42" s="365">
        <f>IF(AQ41=0,0,$P$42)</f>
        <v>1370</v>
      </c>
      <c r="AR42" s="365">
        <f>IF(AR41=0,0,$P$42)</f>
        <v>1370</v>
      </c>
    </row>
    <row r="43" spans="1:44" s="43" customFormat="1" ht="18" customHeight="1">
      <c r="A43" s="75"/>
      <c r="B43" s="83"/>
      <c r="C43" s="84"/>
      <c r="D43" s="657" t="str">
        <f t="shared" si="3"/>
        <v>Add: Prem on Non-Ele Accessories @ 3.283%</v>
      </c>
      <c r="E43" s="657"/>
      <c r="F43" s="657"/>
      <c r="G43" s="657"/>
      <c r="H43" s="93" t="str">
        <f t="shared" si="1"/>
        <v>:</v>
      </c>
      <c r="I43" s="94">
        <f t="shared" si="4"/>
        <v>3549.1856399999997</v>
      </c>
      <c r="J43" s="84"/>
      <c r="K43" s="90"/>
      <c r="L43" s="39"/>
      <c r="M43" s="39"/>
      <c r="N43" s="39"/>
      <c r="O43" s="39"/>
      <c r="P43" s="39"/>
      <c r="Q43" s="39"/>
      <c r="R43" s="371">
        <v>3</v>
      </c>
      <c r="S43" s="370">
        <f t="shared" si="2"/>
        <v>38</v>
      </c>
      <c r="T43" s="370">
        <f>LARGE($S$41:$S$53,ROWS(S$41:S43))</f>
        <v>38</v>
      </c>
      <c r="U43" s="370">
        <v>38</v>
      </c>
      <c r="V43" s="127">
        <f>IF($V$41=0,0,IF(I5=S6,$F$12*$S$13%,IF(I5=S5,$F$12*$S$11%,0)))</f>
        <v>3549.1856399999997</v>
      </c>
      <c r="W43" s="99" t="str">
        <f>IF(V43=0,"",CONCATENATE("Add: Prem on Non-Ele Accessories @ ",(IF(I5=S5,S11,IF(I5=S6,S13))),"%"))</f>
        <v>Add: Prem on Non-Ele Accessories @ 3.283%</v>
      </c>
      <c r="X43" s="99"/>
      <c r="Y43" s="99"/>
      <c r="Z43" s="127">
        <f>IF($Z$41=0,0,$F$12*$S$13%)</f>
        <v>3549.1856399999997</v>
      </c>
      <c r="AA43" s="127">
        <f>IF($AA$41=0,0,$F$12*$S$13%)</f>
        <v>3549.1856399999997</v>
      </c>
      <c r="AB43" s="127">
        <f>IF($AB$41=0,0,$F$12*$S$13%)</f>
        <v>3549.1856399999997</v>
      </c>
      <c r="AC43" s="127">
        <f>IF($AC$41=0,0,$F$12*$S$13%)</f>
        <v>3549.1856399999997</v>
      </c>
      <c r="AD43" s="347"/>
      <c r="AE43" s="347">
        <f>ROUND(IF(AE42=0,0,SUM(AE41:AE42)),0)</f>
        <v>42041</v>
      </c>
      <c r="AF43" s="347">
        <f>ROUND(IF(AF42=0,0,SUM(AF41:AF42)),0)</f>
        <v>40214</v>
      </c>
      <c r="AG43" s="347">
        <f>ROUND(IF(AG42=0,0,SUM(AG41:AG42)),0)</f>
        <v>38379</v>
      </c>
      <c r="AH43" s="347">
        <f>ROUND(IF(AH42=0,0,SUM(AH41:AH42)),0)</f>
        <v>36552</v>
      </c>
      <c r="AI43" s="42"/>
      <c r="AJ43" s="127">
        <f>IF($AJ$41=0,0,$F$12*$S$11%)</f>
        <v>5362.1568</v>
      </c>
      <c r="AK43" s="127">
        <f>IF($AK$41=0,0,$F$12*$S$11%)</f>
        <v>5362.1568</v>
      </c>
      <c r="AL43" s="127">
        <f>IF($AL$41=0,0,$F$12*$S$11%)</f>
        <v>5362.1568</v>
      </c>
      <c r="AM43" s="127">
        <f>IF($AM$41=0,0,$F$12*$S$11%)</f>
        <v>5362.1568</v>
      </c>
      <c r="AN43" s="347"/>
      <c r="AO43" s="347">
        <f>ROUND(IF(AO42=0,0,SUM(AO41:AO42)),0)</f>
        <v>73278</v>
      </c>
      <c r="AP43" s="347">
        <f>ROUND(IF(AP42=0,0,SUM(AP41:AP42)),0)</f>
        <v>63194</v>
      </c>
      <c r="AQ43" s="347">
        <f>ROUND(IF(AQ42=0,0,SUM(AQ41:AQ42)),0)</f>
        <v>60721</v>
      </c>
      <c r="AR43" s="347">
        <f>ROUND(IF(AR42=0,0,SUM(AR41:AR42)),0)</f>
        <v>50637</v>
      </c>
    </row>
    <row r="44" spans="1:44" s="43" customFormat="1" ht="18" customHeight="1">
      <c r="A44" s="75"/>
      <c r="B44" s="83"/>
      <c r="C44" s="84"/>
      <c r="D44" s="657" t="str">
        <f t="shared" si="3"/>
        <v>Add: Prem of Inclusion of CNG/LPG Kit @ 4%</v>
      </c>
      <c r="E44" s="657"/>
      <c r="F44" s="657"/>
      <c r="G44" s="657"/>
      <c r="H44" s="93" t="str">
        <f t="shared" si="1"/>
        <v>:</v>
      </c>
      <c r="I44" s="94">
        <f t="shared" si="4"/>
        <v>4324.32</v>
      </c>
      <c r="J44" s="84"/>
      <c r="K44" s="90"/>
      <c r="L44" s="39"/>
      <c r="M44" s="39"/>
      <c r="N44" s="39"/>
      <c r="O44" s="39"/>
      <c r="P44" s="39"/>
      <c r="Q44" s="39"/>
      <c r="R44" s="371">
        <v>4</v>
      </c>
      <c r="S44" s="370">
        <f t="shared" si="2"/>
        <v>37</v>
      </c>
      <c r="T44" s="370">
        <f>LARGE($S$41:$S$53,ROWS(S$41:S44))</f>
        <v>37</v>
      </c>
      <c r="U44" s="370">
        <v>37</v>
      </c>
      <c r="V44" s="127">
        <f>IF($V$41=0,0,IF($G$12="No",0,IF($G$12="",0,IF(I5=S6,$I$12*4%,IF(I5=S5,$I$12*9%,0)))))</f>
        <v>4324.32</v>
      </c>
      <c r="W44" s="99" t="str">
        <f>IF(V44=0,"",CONCATENATE("Add: Prem of Inclusion of CNG/LPG Kit @ ",(IF(I5=S5,"9",IF(I5=S6,"4"))),"%"))</f>
        <v>Add: Prem of Inclusion of CNG/LPG Kit @ 4%</v>
      </c>
      <c r="X44" s="99"/>
      <c r="Y44" s="99"/>
      <c r="Z44" s="127">
        <f>IF($Z$41=0,0,IF($G$12="No",0,IF($G$12="",0,$I$12*4%)))</f>
        <v>4324.32</v>
      </c>
      <c r="AA44" s="127">
        <f>IF($AA$41=0,0,IF($G$12="No",0,IF($G$12="",0,$I$12*4%)))</f>
        <v>4324.32</v>
      </c>
      <c r="AB44" s="127">
        <f>IF($AB$41=0,0,IF($G$12="No",0,IF($G$12="",0,$I$12*4%)))</f>
        <v>4324.32</v>
      </c>
      <c r="AC44" s="127">
        <f>IF($AC$41=0,0,IF($G$12="No",0,IF($G$12="",0,$I$12*4%)))</f>
        <v>4324.32</v>
      </c>
      <c r="AD44" s="347"/>
      <c r="AE44" s="347">
        <f>SUM(AE46,AE47)</f>
        <v>7568</v>
      </c>
      <c r="AF44" s="347">
        <f>SUM(AF46,AF47)</f>
        <v>7238</v>
      </c>
      <c r="AG44" s="347">
        <f>SUM(AG46,AG47)</f>
        <v>6908</v>
      </c>
      <c r="AH44" s="347">
        <f>SUM(AH46,AH47)</f>
        <v>6580</v>
      </c>
      <c r="AI44" s="42"/>
      <c r="AJ44" s="127">
        <f>IF($AJ$41=0,0,IF($G$12="No",0,IF($G$12="",0,$I$12*9%)))</f>
        <v>9729.72</v>
      </c>
      <c r="AK44" s="127">
        <f>IF($AK$41=0,0,IF($G$12="No",0,IF($G$12="",0,$I$12*9%)))</f>
        <v>9729.72</v>
      </c>
      <c r="AL44" s="127">
        <f>IF($AL$41=0,0,IF($G$12="No",0,IF($G$12="",0,$I$12*9%)))</f>
        <v>9729.72</v>
      </c>
      <c r="AM44" s="127">
        <f>IF($AM$41=0,0,IF($G$12="No",0,IF($G$12="",0,$I$12*9%)))</f>
        <v>9729.72</v>
      </c>
      <c r="AN44" s="347"/>
      <c r="AO44" s="347">
        <f>SUM(AO46,AO47)</f>
        <v>13190</v>
      </c>
      <c r="AP44" s="347">
        <f>SUM(AP46,AP47)</f>
        <v>11374</v>
      </c>
      <c r="AQ44" s="347">
        <f>SUM(AQ46,AQ47)</f>
        <v>10930</v>
      </c>
      <c r="AR44" s="347">
        <f>SUM(AR46,AR47)</f>
        <v>9114</v>
      </c>
    </row>
    <row r="45" spans="1:44" s="43" customFormat="1" ht="18" customHeight="1">
      <c r="A45" s="75"/>
      <c r="B45" s="83"/>
      <c r="C45" s="84"/>
      <c r="D45" s="657" t="str">
        <f t="shared" si="3"/>
        <v>Less: U/w (De-Tariff) Discount @ 36%</v>
      </c>
      <c r="E45" s="657"/>
      <c r="F45" s="657"/>
      <c r="G45" s="657"/>
      <c r="H45" s="93" t="str">
        <f t="shared" si="1"/>
        <v>:</v>
      </c>
      <c r="I45" s="94">
        <f>IF(T45&lt;24,"",VLOOKUP(T45,$U$41:$W$53,2,0))</f>
        <v>-17168</v>
      </c>
      <c r="J45" s="84"/>
      <c r="K45" s="90"/>
      <c r="L45" s="39"/>
      <c r="M45" s="39"/>
      <c r="N45" s="39"/>
      <c r="O45" s="39"/>
      <c r="P45" s="39"/>
      <c r="Q45" s="39"/>
      <c r="R45" s="371">
        <v>5</v>
      </c>
      <c r="S45" s="370">
        <f t="shared" si="2"/>
        <v>36</v>
      </c>
      <c r="T45" s="370">
        <f>LARGE($S$41:$S$53,ROWS(S$41:S45))</f>
        <v>36</v>
      </c>
      <c r="U45" s="370">
        <v>36</v>
      </c>
      <c r="V45" s="127">
        <f>-ROUND(SUM($V$41:$V$44)*$I$16%,0)</f>
        <v>-17168</v>
      </c>
      <c r="W45" s="99" t="str">
        <f>IF(V45=0,"",(CONCATENATE("Less: U/w (De-Tariff) Discount @ ",I16,"%")))</f>
        <v>Less: U/w (De-Tariff) Discount @ 36%</v>
      </c>
      <c r="X45" s="99"/>
      <c r="Y45" s="99"/>
      <c r="Z45" s="127">
        <f>-ROUND(SUM($Z$41:$Z$44)*$I$16%,0)</f>
        <v>-17168</v>
      </c>
      <c r="AA45" s="127">
        <f>-ROUND(SUM($AA$41:$AA$44)*$I$16%,0)</f>
        <v>-17168</v>
      </c>
      <c r="AB45" s="127">
        <f>-ROUND(SUM($AB$41:$AB$44)*$I$16%,0)</f>
        <v>-17168</v>
      </c>
      <c r="AC45" s="127">
        <f>-ROUND(SUM($AC$41:$AC$44)*$I$16%,0)</f>
        <v>-17168</v>
      </c>
      <c r="AD45" s="347"/>
      <c r="AE45" s="349">
        <f>SUM(AE43:AE44)</f>
        <v>49609</v>
      </c>
      <c r="AF45" s="349">
        <f>SUM(AF43:AF44)</f>
        <v>47452</v>
      </c>
      <c r="AG45" s="349">
        <f>SUM(AG43:AG44)</f>
        <v>45287</v>
      </c>
      <c r="AH45" s="349">
        <f>SUM(AH43:AH44)</f>
        <v>43132</v>
      </c>
      <c r="AI45" s="42"/>
      <c r="AJ45" s="127">
        <f>-ROUND(SUM($AJ$41:$AJ$44)*$I$16%,0)</f>
        <v>-27072</v>
      </c>
      <c r="AK45" s="127">
        <f>-ROUND(SUM($AK$41:$AK$44)*$I$16%,0)</f>
        <v>-27072</v>
      </c>
      <c r="AL45" s="127">
        <f>-ROUND(SUM($AL$41:$AL$44)*$I$16%,0)</f>
        <v>-27072</v>
      </c>
      <c r="AM45" s="127">
        <f>-ROUND(SUM($AM$41:$AM$44)*$I$16%,0)</f>
        <v>-27072</v>
      </c>
      <c r="AN45" s="347"/>
      <c r="AO45" s="349">
        <f>SUM(AO43:AO44)</f>
        <v>86468</v>
      </c>
      <c r="AP45" s="349">
        <f>SUM(AP43:AP44)</f>
        <v>74568</v>
      </c>
      <c r="AQ45" s="349">
        <f>SUM(AQ43:AQ44)</f>
        <v>71651</v>
      </c>
      <c r="AR45" s="349">
        <f>SUM(AR43:AR44)</f>
        <v>59751</v>
      </c>
    </row>
    <row r="46" spans="1:44" s="43" customFormat="1" ht="18" customHeight="1">
      <c r="A46" s="75"/>
      <c r="B46" s="83"/>
      <c r="C46" s="84"/>
      <c r="D46" s="657" t="str">
        <f t="shared" si="3"/>
        <v>Add: NDP Cover (Nill/Zero Depr) @ 15 % on OD Prem</v>
      </c>
      <c r="E46" s="657"/>
      <c r="F46" s="657"/>
      <c r="G46" s="657"/>
      <c r="H46" s="93" t="str">
        <f t="shared" si="1"/>
        <v>:</v>
      </c>
      <c r="I46" s="94">
        <f t="shared" si="4"/>
        <v>7153</v>
      </c>
      <c r="J46" s="84"/>
      <c r="K46" s="90"/>
      <c r="L46" s="39"/>
      <c r="M46" s="39"/>
      <c r="N46" s="39"/>
      <c r="O46" s="39"/>
      <c r="P46" s="39"/>
      <c r="Q46" s="39"/>
      <c r="R46" s="371">
        <v>6</v>
      </c>
      <c r="S46" s="370">
        <f t="shared" si="2"/>
        <v>35</v>
      </c>
      <c r="T46" s="370">
        <f>LARGE($S$41:$S$53,ROWS(S$41:S46))</f>
        <v>35</v>
      </c>
      <c r="U46" s="370">
        <v>35</v>
      </c>
      <c r="V46" s="127">
        <f>IF($O$5="",0,IF($O$5="No-Not Required",0,(ROUND(IF(I5=S5,(D12+F12)*1.32%,SUM($V$41:$V$44)*$S$15%),0))))</f>
        <v>7153</v>
      </c>
      <c r="W46" s="99" t="str">
        <f>IF(V46=0,"",(CONCATENATE("Add: NDP Cover (Nill/Zero Depr) @ ",(IF(I5=S5,"1.32% on IDV","15 % on OD Prem")))))</f>
        <v>Add: NDP Cover (Nill/Zero Depr) @ 15 % on OD Prem</v>
      </c>
      <c r="X46" s="99"/>
      <c r="Y46" s="99"/>
      <c r="Z46" s="127">
        <f>ROUND(SUM($Z$41:$Z$44)*15%,0)</f>
        <v>7153</v>
      </c>
      <c r="AA46" s="127">
        <f>ROUND(SUM($AA$41:$AA$44)*15%,0)</f>
        <v>7153</v>
      </c>
      <c r="AB46" s="127"/>
      <c r="AC46" s="127"/>
      <c r="AD46" s="347"/>
      <c r="AE46" s="366">
        <f>ROUND(AE$43*Sign!$E$12%,0)</f>
        <v>3784</v>
      </c>
      <c r="AF46" s="366">
        <f>ROUND(AF$43*Sign!$E$12%,0)</f>
        <v>3619</v>
      </c>
      <c r="AG46" s="366">
        <f>ROUND(AG$43*Sign!$E$12%,0)</f>
        <v>3454</v>
      </c>
      <c r="AH46" s="366">
        <f>ROUND(AH$43*Sign!$E$12%,0)</f>
        <v>3290</v>
      </c>
      <c r="AI46" s="42"/>
      <c r="AJ46" s="127">
        <f>ROUND(($D$12+F12)*1.32%,0)</f>
        <v>15697</v>
      </c>
      <c r="AK46" s="127">
        <f>ROUND(($D$12+F12)*1.32%,0)</f>
        <v>15697</v>
      </c>
      <c r="AL46" s="127"/>
      <c r="AM46" s="127"/>
      <c r="AN46" s="347"/>
      <c r="AO46" s="366">
        <f>ROUND(AO$43*Sign!$E$12%,0)</f>
        <v>6595</v>
      </c>
      <c r="AP46" s="366">
        <f>ROUND(AP$43*Sign!$E$12%,0)</f>
        <v>5687</v>
      </c>
      <c r="AQ46" s="366">
        <f>ROUND(AQ$43*Sign!$E$12%,0)</f>
        <v>5465</v>
      </c>
      <c r="AR46" s="366">
        <f>ROUND(AR$43*Sign!$E$12%,0)</f>
        <v>4557</v>
      </c>
    </row>
    <row r="47" spans="1:44" s="43" customFormat="1" ht="18" customHeight="1">
      <c r="A47" s="75"/>
      <c r="B47" s="83"/>
      <c r="C47" s="84"/>
      <c r="D47" s="657" t="str">
        <f t="shared" si="3"/>
        <v>    # Less: Discount on NDP Prem @ 36%</v>
      </c>
      <c r="E47" s="657"/>
      <c r="F47" s="657"/>
      <c r="G47" s="657"/>
      <c r="H47" s="93" t="str">
        <f t="shared" si="1"/>
        <v>:</v>
      </c>
      <c r="I47" s="94">
        <f t="shared" si="4"/>
        <v>-2575</v>
      </c>
      <c r="J47" s="84"/>
      <c r="K47" s="90"/>
      <c r="L47" s="39"/>
      <c r="M47" s="39"/>
      <c r="N47" s="39"/>
      <c r="O47" s="39"/>
      <c r="P47" s="39"/>
      <c r="Q47" s="39"/>
      <c r="R47" s="371">
        <v>7</v>
      </c>
      <c r="S47" s="370">
        <f t="shared" si="2"/>
        <v>7</v>
      </c>
      <c r="T47" s="370">
        <f>LARGE($S$41:$S$53,ROWS(S$41:S47))</f>
        <v>33</v>
      </c>
      <c r="U47" s="370">
        <v>34</v>
      </c>
      <c r="V47" s="127"/>
      <c r="W47" s="99"/>
      <c r="X47" s="99"/>
      <c r="Y47" s="99"/>
      <c r="Z47" s="127"/>
      <c r="AA47" s="127">
        <f>-ROUND(IF($O$5="With Ren Disc",$AA$46*5%,0),0)</f>
        <v>0</v>
      </c>
      <c r="AB47" s="127"/>
      <c r="AC47" s="127"/>
      <c r="AD47" s="347"/>
      <c r="AE47" s="367">
        <f>ROUND(AE$43*Sign!$E$13%,0)</f>
        <v>3784</v>
      </c>
      <c r="AF47" s="367">
        <f>ROUND(AF$43*Sign!$E$13%,0)</f>
        <v>3619</v>
      </c>
      <c r="AG47" s="367">
        <f>ROUND(AG$43*Sign!$E$13%,0)</f>
        <v>3454</v>
      </c>
      <c r="AH47" s="367">
        <f>ROUND(AH$43*Sign!$E$13%,0)</f>
        <v>3290</v>
      </c>
      <c r="AI47" s="42"/>
      <c r="AJ47" s="127"/>
      <c r="AK47" s="127"/>
      <c r="AL47" s="127"/>
      <c r="AM47" s="127"/>
      <c r="AN47" s="347"/>
      <c r="AO47" s="367">
        <f>ROUND(AO$43*Sign!$E$13%,0)</f>
        <v>6595</v>
      </c>
      <c r="AP47" s="367">
        <f>ROUND(AP$43*Sign!$E$13%,0)</f>
        <v>5687</v>
      </c>
      <c r="AQ47" s="367">
        <f>ROUND(AQ$43*Sign!$E$13%,0)</f>
        <v>5465</v>
      </c>
      <c r="AR47" s="367">
        <f>ROUND(AR$43*Sign!$E$13%,0)</f>
        <v>4557</v>
      </c>
    </row>
    <row r="48" spans="1:44" s="43" customFormat="1" ht="18" customHeight="1">
      <c r="A48" s="75"/>
      <c r="B48" s="83"/>
      <c r="C48" s="84"/>
      <c r="D48" s="657" t="str">
        <f t="shared" si="3"/>
        <v>Add: RTI Prem (Return to Invoice) @ 0.30 % on IDV</v>
      </c>
      <c r="E48" s="657"/>
      <c r="F48" s="657"/>
      <c r="G48" s="657"/>
      <c r="H48" s="93" t="str">
        <f t="shared" si="1"/>
        <v>:</v>
      </c>
      <c r="I48" s="94">
        <f t="shared" si="4"/>
        <v>3568</v>
      </c>
      <c r="J48" s="84"/>
      <c r="K48" s="90"/>
      <c r="L48" s="39"/>
      <c r="M48" s="39"/>
      <c r="N48" s="39"/>
      <c r="O48" s="39"/>
      <c r="P48" s="39"/>
      <c r="Q48" s="39"/>
      <c r="R48" s="371">
        <v>8</v>
      </c>
      <c r="S48" s="370">
        <f t="shared" si="2"/>
        <v>33</v>
      </c>
      <c r="T48" s="370">
        <f>LARGE($S$41:$S$53,ROWS(S$41:S48))</f>
        <v>32</v>
      </c>
      <c r="U48" s="370">
        <v>33</v>
      </c>
      <c r="V48" s="127">
        <f>-ROUND(IF(I16="",0,IF(I5=S5,0,$V$46*MIN($AG$12,$O$7)))%,0)</f>
        <v>-2575</v>
      </c>
      <c r="W48" s="99" t="str">
        <f>IF(V48=0,"",(CONCATENATE("    # Less: Discount on NDP Prem @ ",MIN(AG12,O7),"%")))</f>
        <v>    # Less: Discount on NDP Prem @ 36%</v>
      </c>
      <c r="X48" s="99"/>
      <c r="Y48" s="99"/>
      <c r="Z48" s="127">
        <f>-ROUND(IF(I16="",0,$Z$46*MIN($AG$12,$O$7))%,0)</f>
        <v>-2575</v>
      </c>
      <c r="AA48" s="127">
        <f>-ROUND(IF(I16="",0,$AA$46*MIN($AG$12,$O$7))%,0)</f>
        <v>-2575</v>
      </c>
      <c r="AB48" s="127"/>
      <c r="AC48" s="127"/>
      <c r="AD48" s="347"/>
      <c r="AE48" s="391">
        <f>Z51</f>
        <v>0</v>
      </c>
      <c r="AF48" s="391">
        <f>AA51</f>
        <v>0</v>
      </c>
      <c r="AG48" s="391">
        <f>AB51</f>
        <v>0</v>
      </c>
      <c r="AH48" s="391">
        <f>AC51</f>
        <v>0</v>
      </c>
      <c r="AI48" s="42"/>
      <c r="AJ48" s="127"/>
      <c r="AK48" s="127"/>
      <c r="AL48" s="127"/>
      <c r="AM48" s="127"/>
      <c r="AN48" s="347"/>
      <c r="AO48" s="391">
        <f>AJ51</f>
        <v>0</v>
      </c>
      <c r="AP48" s="391">
        <f>AK51</f>
        <v>0</v>
      </c>
      <c r="AQ48" s="391">
        <f>AL51</f>
        <v>0</v>
      </c>
      <c r="AR48" s="391">
        <f>AM51</f>
        <v>0</v>
      </c>
    </row>
    <row r="49" spans="1:44" s="43" customFormat="1" ht="18" customHeight="1">
      <c r="A49" s="75"/>
      <c r="B49" s="83"/>
      <c r="C49" s="84"/>
      <c r="D49" s="657" t="str">
        <f t="shared" si="3"/>
        <v>    # Less: Discount on RTI Prem @ 36%</v>
      </c>
      <c r="E49" s="657"/>
      <c r="F49" s="657"/>
      <c r="G49" s="657"/>
      <c r="H49" s="93" t="str">
        <f t="shared" si="1"/>
        <v>:</v>
      </c>
      <c r="I49" s="94">
        <f t="shared" si="4"/>
        <v>-1284</v>
      </c>
      <c r="J49" s="84"/>
      <c r="K49" s="90"/>
      <c r="L49" s="39"/>
      <c r="M49" s="39"/>
      <c r="N49" s="329"/>
      <c r="O49" s="39"/>
      <c r="P49" s="39"/>
      <c r="Q49" s="39"/>
      <c r="R49" s="371">
        <v>9</v>
      </c>
      <c r="S49" s="370">
        <f t="shared" si="2"/>
        <v>32</v>
      </c>
      <c r="T49" s="370">
        <f>LARGE($S$41:$S$53,ROWS(S$41:S49))</f>
        <v>31</v>
      </c>
      <c r="U49" s="370">
        <v>32</v>
      </c>
      <c r="V49" s="127">
        <f>ROUND(IF(V41=0,0,IF($P$5="Yes-Required",IF(I5=S5,($D$12+F12)*1.06%,(($D$12+$F$12)*0.3%)))),0)</f>
        <v>3568</v>
      </c>
      <c r="W49" s="99" t="str">
        <f>IF(V49=0,"",(CONCATENATE("Add: RTI Prem (Return to Invoice) @ ",(IF(I5=S5,"1.06% on IDV","0.30 % on IDV")))))</f>
        <v>Add: RTI Prem (Return to Invoice) @ 0.30 % on IDV</v>
      </c>
      <c r="X49" s="99"/>
      <c r="Y49" s="99"/>
      <c r="Z49" s="127">
        <f>ROUND(($D$12+$F$12)*$T$15%,0)</f>
        <v>3568</v>
      </c>
      <c r="AA49" s="127"/>
      <c r="AB49" s="127">
        <f>ROUND(($D$12+$F$12)*$T$15%,0)</f>
        <v>3568</v>
      </c>
      <c r="AC49" s="127"/>
      <c r="AD49" s="347"/>
      <c r="AE49" s="414">
        <f>-MIN(ROUND(IF($I$19="Anti Theft - Yes",((SUM($Z$41:$Z$45,P31))*2.5%),0),1),500)</f>
        <v>0</v>
      </c>
      <c r="AF49" s="391">
        <f>-MIN(ROUND(IF($I$19="Anti Theft - Yes",((SUM($AA$41:$AA$45,P31))*2.5%),0),1),500)</f>
        <v>0</v>
      </c>
      <c r="AG49" s="391">
        <f>-MIN(ROUND(IF($I$19="Anti Theft - Yes",((SUM($AB$41:$AB$45,P31))*2.5%),0),1),500)</f>
        <v>0</v>
      </c>
      <c r="AH49" s="391">
        <f>-MIN(ROUND(IF($I$19="Anti Theft - Yes",((SUM($AC$41:$AC$45,P31))*2.5%),0),1),500)</f>
        <v>0</v>
      </c>
      <c r="AI49" s="42"/>
      <c r="AJ49" s="127">
        <f>ROUND(($D$12+F12)*1.06%,0)</f>
        <v>12605</v>
      </c>
      <c r="AK49" s="127"/>
      <c r="AL49" s="127">
        <f>ROUND(($D$12+F12)*1.06%,0)</f>
        <v>12605</v>
      </c>
      <c r="AM49" s="127"/>
      <c r="AN49" s="347"/>
      <c r="AO49" s="414">
        <f>-MIN(ROUND(IF($I$19="Anti Theft - Yes",((SUM($Z$41:$Z$45,Z31))*2.5%),0),1),500)</f>
        <v>0</v>
      </c>
      <c r="AP49" s="391">
        <f>-MIN(ROUND(IF($I$19="Anti Theft - Yes",((SUM($AA$41:$AA$45,Z31))*2.5%),0),1),500)</f>
        <v>0</v>
      </c>
      <c r="AQ49" s="391">
        <f>-MIN(ROUND(IF($I$19="Anti Theft - Yes",((SUM($AB$41:$AB$45,Z31))*2.5%),0),1),500)</f>
        <v>0</v>
      </c>
      <c r="AR49" s="391">
        <f>-MIN(ROUND(IF($I$19="Anti Theft - Yes",((SUM($AC$41:$AC$45,Z31))*2.5%),0),1),500)</f>
        <v>0</v>
      </c>
    </row>
    <row r="50" spans="1:44" s="43" customFormat="1" ht="18" customHeight="1">
      <c r="A50" s="75"/>
      <c r="B50" s="83"/>
      <c r="C50" s="84"/>
      <c r="D50" s="657" t="str">
        <f t="shared" si="3"/>
        <v>Less: NCB @ 20% (Subject to No Claim)</v>
      </c>
      <c r="E50" s="657"/>
      <c r="F50" s="657"/>
      <c r="G50" s="657"/>
      <c r="H50" s="93" t="str">
        <f t="shared" si="1"/>
        <v>:</v>
      </c>
      <c r="I50" s="94">
        <f t="shared" si="4"/>
        <v>-7476.77</v>
      </c>
      <c r="J50" s="84"/>
      <c r="K50" s="90"/>
      <c r="L50" s="39"/>
      <c r="M50" s="39"/>
      <c r="N50" s="329"/>
      <c r="O50" s="39"/>
      <c r="P50" s="39"/>
      <c r="Q50" s="39"/>
      <c r="R50" s="371">
        <v>10</v>
      </c>
      <c r="S50" s="370">
        <f t="shared" si="2"/>
        <v>31</v>
      </c>
      <c r="T50" s="370">
        <f>LARGE($S$41:$S$53,ROWS(S$41:S50))</f>
        <v>29</v>
      </c>
      <c r="U50" s="370">
        <v>31</v>
      </c>
      <c r="V50" s="127">
        <f>-ROUND(IF(I16="",0,IF(I5=S5,0,$V$49*(IF($O$7=0,MIN($P$7,$I$16),MIN($O$7,$P$7,$I$16)))))%,0)</f>
        <v>-1284</v>
      </c>
      <c r="W50" s="99" t="str">
        <f>IF(V50=0,"",(CONCATENATE("    # Less: Discount on RTI Prem @ ",(IF($O$7=0,MIN($P$7,$I$16),MIN($O$7,$P$7,$I$16))),"%")))</f>
        <v>    # Less: Discount on RTI Prem @ 36%</v>
      </c>
      <c r="X50" s="99"/>
      <c r="Y50" s="99"/>
      <c r="Z50" s="127">
        <f>-ROUND(IF(I16="",0,$Z$49*(IF($O$7=0,MIN($P$7,$I$16),MIN($O$7,$P$7,$I$16))))%,0)</f>
        <v>-1284</v>
      </c>
      <c r="AA50" s="127"/>
      <c r="AB50" s="127">
        <f>-ROUND(IF(I16="",0,$AB$49*(IF($O$7=0,MIN($P$7,$I$16),MIN($O$7,$P$7,$I$16))))%,0)</f>
        <v>-1284</v>
      </c>
      <c r="AC50" s="127"/>
      <c r="AD50" s="347"/>
      <c r="AE50" s="413">
        <f>ROUND((AE49-AE48)*$G$16%,2)</f>
        <v>0</v>
      </c>
      <c r="AF50" s="413">
        <f>ROUND((AF49-AF48)*$G$16%,2)</f>
        <v>0</v>
      </c>
      <c r="AG50" s="413">
        <f>ROUND((AG49-AG48)*$G$16%,2)</f>
        <v>0</v>
      </c>
      <c r="AH50" s="413">
        <f>ROUND((AH49-AH48)*$G$16%,2)</f>
        <v>0</v>
      </c>
      <c r="AI50" s="42"/>
      <c r="AJ50" s="127">
        <f>-ROUND(IF(S16="",0,$AJ$49*(IF($O$7=0,MIN($P$7,$I$16),MIN($O$7,$P$7,$I$16))))%,0)</f>
        <v>0</v>
      </c>
      <c r="AK50" s="127"/>
      <c r="AL50" s="127">
        <f>-ROUND(IF(S16="",0,$AL$49*(IF($O$7=0,MIN($P$7,$I$16),MIN($O$7,$P$7,$I$16))))%,0)</f>
        <v>0</v>
      </c>
      <c r="AM50" s="127"/>
      <c r="AN50" s="347"/>
      <c r="AO50" s="413">
        <f>ROUND((AO49-AO48)*$G$16%,2)</f>
        <v>0</v>
      </c>
      <c r="AP50" s="413">
        <f>ROUND((AP49-AP48)*$G$16%,2)</f>
        <v>0</v>
      </c>
      <c r="AQ50" s="413">
        <f>ROUND((AQ49-AQ48)*$G$16%,2)</f>
        <v>0</v>
      </c>
      <c r="AR50" s="413">
        <f>ROUND((AR49-AR48)*$G$16%,2)</f>
        <v>0</v>
      </c>
    </row>
    <row r="51" spans="1:44" s="43" customFormat="1" ht="18" customHeight="1">
      <c r="A51" s="75"/>
      <c r="B51" s="83"/>
      <c r="C51" s="84"/>
      <c r="D51" s="657" t="str">
        <f t="shared" si="3"/>
        <v>Add: Engine Protect Cover (EPC)</v>
      </c>
      <c r="E51" s="657"/>
      <c r="F51" s="657"/>
      <c r="G51" s="657"/>
      <c r="H51" s="93" t="str">
        <f t="shared" si="1"/>
        <v>:</v>
      </c>
      <c r="I51" s="94">
        <f t="shared" si="4"/>
        <v>1370</v>
      </c>
      <c r="J51" s="84"/>
      <c r="K51" s="90"/>
      <c r="L51" s="39"/>
      <c r="M51" s="39"/>
      <c r="N51" s="329"/>
      <c r="O51" s="39"/>
      <c r="P51" s="39"/>
      <c r="Q51" s="39"/>
      <c r="R51" s="371">
        <v>11</v>
      </c>
      <c r="S51" s="370">
        <f t="shared" si="2"/>
        <v>11</v>
      </c>
      <c r="T51" s="370">
        <f>LARGE($S$41:$S$53,ROWS(S$41:S51))</f>
        <v>28</v>
      </c>
      <c r="U51" s="370">
        <v>30</v>
      </c>
      <c r="V51" s="127">
        <f>-IF(V41=0,0,MIN(ROUND(IF($I$19="Anti Theft - Yes",((SUM($V$41:$V$45,IF(N5="Yes-Required",P31,0)))*2.5%),0),1),500))</f>
        <v>0</v>
      </c>
      <c r="W51" s="99">
        <f>IF(V51=0,"",(CONCATENATE("Less: Discount for Anti Theft Devices")))</f>
      </c>
      <c r="X51" s="99"/>
      <c r="Y51" s="99"/>
      <c r="Z51" s="127">
        <f>-MIN(ROUND(IF($I$19="Anti Theft - Yes",((SUM($Z$41:$Z$45))*2.5%),0),1),500)</f>
        <v>0</v>
      </c>
      <c r="AA51" s="127">
        <f>-MIN(ROUND(IF($I$19="Anti Theft - Yes",((SUM($AA$41:$AA$45))*2.5%),0),1),500)</f>
        <v>0</v>
      </c>
      <c r="AB51" s="127">
        <f>-MIN(ROUND(IF($I$19="Anti Theft - Yes",((SUM($AB$41:$AB$45))*2.5%),0),1),500)</f>
        <v>0</v>
      </c>
      <c r="AC51" s="127">
        <f>-MIN(ROUND(IF($I$19="Anti Theft - Yes",((SUM($AC$41:$AC$45))*2.5%),0),1),500)</f>
        <v>0</v>
      </c>
      <c r="AD51" s="347"/>
      <c r="AE51" s="42"/>
      <c r="AF51" s="42"/>
      <c r="AG51" s="42"/>
      <c r="AH51" s="42"/>
      <c r="AI51" s="42"/>
      <c r="AJ51" s="127">
        <f>-MIN(ROUND(IF($I$19="Anti Theft - Yes",((SUM($AJ$41:$AJ$45))*2.5%),0),1),500)</f>
        <v>0</v>
      </c>
      <c r="AK51" s="127">
        <f>-MIN(ROUND(IF($I$19="Anti Theft - Yes",((SUM($AK$41:$AK$45))*2.5%),0),1),500)</f>
        <v>0</v>
      </c>
      <c r="AL51" s="127">
        <f>-MIN(ROUND(IF($I$19="Anti Theft - Yes",((SUM($AL$41:$AL$45))*2.5%),0),1),500)</f>
        <v>0</v>
      </c>
      <c r="AM51" s="127">
        <f>-MIN(ROUND(IF($I$19="Anti Theft - Yes",((SUM($AM$41:$AM$45))*2.5%),0),1),500)</f>
        <v>0</v>
      </c>
      <c r="AN51" s="347"/>
      <c r="AO51" s="42"/>
      <c r="AP51" s="42"/>
      <c r="AQ51" s="42"/>
      <c r="AR51" s="42"/>
    </row>
    <row r="52" spans="1:44" s="43" customFormat="1" ht="18" customHeight="1">
      <c r="A52" s="75"/>
      <c r="B52" s="83"/>
      <c r="C52" s="84"/>
      <c r="D52" s="657">
        <f t="shared" si="3"/>
      </c>
      <c r="E52" s="657"/>
      <c r="F52" s="657"/>
      <c r="G52" s="657"/>
      <c r="H52" s="93">
        <f t="shared" si="1"/>
      </c>
      <c r="I52" s="94">
        <f t="shared" si="4"/>
      </c>
      <c r="J52" s="84"/>
      <c r="K52" s="90"/>
      <c r="L52" s="39"/>
      <c r="M52" s="39"/>
      <c r="N52" s="329"/>
      <c r="O52" s="39"/>
      <c r="P52" s="39"/>
      <c r="Q52" s="39"/>
      <c r="R52" s="371">
        <v>12</v>
      </c>
      <c r="S52" s="370">
        <f t="shared" si="2"/>
        <v>29</v>
      </c>
      <c r="T52" s="370">
        <f>LARGE($S$41:$S$53,ROWS(S$41:S52))</f>
        <v>11</v>
      </c>
      <c r="U52" s="370">
        <v>29</v>
      </c>
      <c r="V52" s="127">
        <f>-ROUND(SUM($V$41:$V$51)*$G$16%,2)</f>
        <v>-7476.77</v>
      </c>
      <c r="W52" s="99" t="str">
        <f>IF(V52=0,"",(CONCATENATE("Less: NCB @ ",G16,"% (Subject to No Claim)")))</f>
        <v>Less: NCB @ 20% (Subject to No Claim)</v>
      </c>
      <c r="X52" s="99"/>
      <c r="Y52" s="99"/>
      <c r="Z52" s="127">
        <f>-ROUND(SUM($Z$41:$Z$51)*$G$16%,2)</f>
        <v>-7476.8</v>
      </c>
      <c r="AA52" s="127">
        <f>-ROUND(SUM($AA$41:$AA$51)*$G$16%,2)</f>
        <v>-7020</v>
      </c>
      <c r="AB52" s="127">
        <f>-ROUND(SUM($AB$41:$AB$51)*$G$16%,2)</f>
        <v>-6561.2</v>
      </c>
      <c r="AC52" s="127">
        <f>-ROUND(SUM($AC$41:$AC$51,-$AC$49)*$G$16%,2)</f>
        <v>-6104.4</v>
      </c>
      <c r="AD52" s="347"/>
      <c r="AE52" s="42"/>
      <c r="AF52" s="42"/>
      <c r="AG52" s="42"/>
      <c r="AH52" s="42"/>
      <c r="AI52" s="42"/>
      <c r="AJ52" s="127">
        <f>-ROUND(SUM($AJ$41:$AJ$51)*$G$16%,2)</f>
        <v>-15286.07</v>
      </c>
      <c r="AK52" s="127">
        <f>-ROUND(SUM($AK$41:$AK$51)*$G$16%,2)</f>
        <v>-12765.07</v>
      </c>
      <c r="AL52" s="127">
        <f>-ROUND(SUM($AL$41:$AL$51)*$G$16%,2)</f>
        <v>-12146.67</v>
      </c>
      <c r="AM52" s="127">
        <f>-ROUND(SUM($AM$41:$AM$51,-$AM$49)*$G$16%,2)</f>
        <v>-9625.67</v>
      </c>
      <c r="AN52" s="347"/>
      <c r="AO52" s="42"/>
      <c r="AP52" s="42"/>
      <c r="AQ52" s="42"/>
      <c r="AR52" s="42"/>
    </row>
    <row r="53" spans="1:44" s="43" customFormat="1" ht="18" customHeight="1">
      <c r="A53" s="75"/>
      <c r="B53" s="83"/>
      <c r="C53" s="84"/>
      <c r="D53" s="657">
        <f t="shared" si="3"/>
      </c>
      <c r="E53" s="657"/>
      <c r="F53" s="657"/>
      <c r="G53" s="657"/>
      <c r="H53" s="93">
        <f t="shared" si="1"/>
      </c>
      <c r="I53" s="94">
        <f t="shared" si="4"/>
      </c>
      <c r="J53" s="84"/>
      <c r="K53" s="90"/>
      <c r="L53" s="39"/>
      <c r="M53" s="39"/>
      <c r="N53" s="329"/>
      <c r="O53" s="39"/>
      <c r="P53" s="39"/>
      <c r="Q53" s="39"/>
      <c r="R53" s="371">
        <v>13</v>
      </c>
      <c r="S53" s="370">
        <f t="shared" si="2"/>
        <v>28</v>
      </c>
      <c r="T53" s="370">
        <f>LARGE($S$41:$S$53,ROWS(S$41:S53))</f>
        <v>7</v>
      </c>
      <c r="U53" s="370">
        <v>28</v>
      </c>
      <c r="V53" s="127">
        <f>IF(V41=0,0,IF(I5=S5,0,IF($N$5="Yes-Required",$P$42,0)))</f>
        <v>1370</v>
      </c>
      <c r="W53" s="99" t="str">
        <f>IF(V53=0,"",(CONCATENATE("Add: Engine Protect Cover (EPC)")))</f>
        <v>Add: Engine Protect Cover (EPC)</v>
      </c>
      <c r="X53" s="99"/>
      <c r="Y53" s="99"/>
      <c r="Z53" s="127"/>
      <c r="AA53" s="127"/>
      <c r="AB53" s="127"/>
      <c r="AC53" s="127"/>
      <c r="AD53" s="347"/>
      <c r="AE53" s="42"/>
      <c r="AF53" s="42"/>
      <c r="AG53" s="42"/>
      <c r="AH53" s="42"/>
      <c r="AI53" s="42"/>
      <c r="AJ53" s="127"/>
      <c r="AK53" s="127"/>
      <c r="AL53" s="127"/>
      <c r="AM53" s="127"/>
      <c r="AN53" s="347"/>
      <c r="AO53" s="42"/>
      <c r="AP53" s="42"/>
      <c r="AQ53" s="42"/>
      <c r="AR53" s="42"/>
    </row>
    <row r="54" spans="1:44" s="43" customFormat="1" ht="18" customHeight="1">
      <c r="A54" s="75"/>
      <c r="B54" s="83"/>
      <c r="C54" s="84"/>
      <c r="D54" s="658" t="str">
        <f>IF(I54=200,"Net Own Damage Premium (Min Own Damage (OD) Prem R/o)","Net Own Damage (OD) Premium")</f>
        <v>Net Own Damage (OD) Premium</v>
      </c>
      <c r="E54" s="658"/>
      <c r="F54" s="658"/>
      <c r="G54" s="316"/>
      <c r="H54" s="101" t="s">
        <v>106</v>
      </c>
      <c r="I54" s="102">
        <f>V54</f>
        <v>31277</v>
      </c>
      <c r="J54" s="84"/>
      <c r="K54" s="90"/>
      <c r="L54" s="39"/>
      <c r="M54" s="39"/>
      <c r="N54" s="329"/>
      <c r="O54" s="39"/>
      <c r="P54" s="39"/>
      <c r="Q54" s="39"/>
      <c r="R54" s="371"/>
      <c r="S54" s="370"/>
      <c r="T54" s="370"/>
      <c r="U54" s="370"/>
      <c r="V54" s="127">
        <f>ROUND(IF($V$41=0,0,IF($D$12=0,0,(MAX((SUM($V$41:$V$53)),200)))),0)</f>
        <v>31277</v>
      </c>
      <c r="W54" s="128"/>
      <c r="X54" s="86"/>
      <c r="Y54" s="86"/>
      <c r="Z54" s="127">
        <f>ROUND(IF($Z$41=0,0,IF($D$12=0,0,(MAX((SUM($Z$41:$Z$53)),200)))),0)</f>
        <v>29907</v>
      </c>
      <c r="AA54" s="127">
        <f>ROUND(IF($AA$41=0,0,IF($D$12=0,0,(MAX((SUM($AA$41:$AA$53)),200)))),0)</f>
        <v>28080</v>
      </c>
      <c r="AB54" s="127">
        <f>ROUND(IF($AB$41=0,0,IF($D$12=0,0,(MAX((SUM($AB$41:$AB$53)),200)))),0)</f>
        <v>26245</v>
      </c>
      <c r="AC54" s="127">
        <f>ROUND(IF($AC$41=0,0,IF($D$12=0,0,(MAX((SUM($AC$41:$AC$53)),200)))),0)</f>
        <v>24418</v>
      </c>
      <c r="AD54" s="347"/>
      <c r="AE54" s="42"/>
      <c r="AF54" s="42"/>
      <c r="AG54" s="42"/>
      <c r="AH54" s="42"/>
      <c r="AI54" s="42"/>
      <c r="AJ54" s="127">
        <f>ROUND(IF($AJ$41=0,0,IF($D$12=0,0,(MAX((SUM($AJ$41:$AJ$53)),200)))),0)</f>
        <v>61144</v>
      </c>
      <c r="AK54" s="127">
        <f>ROUND(IF($AK$41=0,0,IF($D$12=0,0,(MAX((SUM($AK$41:$AK$53)),200)))),0)</f>
        <v>51060</v>
      </c>
      <c r="AL54" s="127">
        <f>ROUND(IF($AL$41=0,0,IF($D$12=0,0,(MAX((SUM($AL$41:$AL$53)),200)))),0)</f>
        <v>48587</v>
      </c>
      <c r="AM54" s="127">
        <f>ROUND(IF($AM$41=0,0,IF($D$12=0,0,(MAX((SUM($AM$41:$AM$53)),200)))),0)</f>
        <v>38503</v>
      </c>
      <c r="AN54" s="347"/>
      <c r="AO54" s="42"/>
      <c r="AP54" s="42"/>
      <c r="AQ54" s="42"/>
      <c r="AR54" s="42"/>
    </row>
    <row r="55" spans="1:44" s="43" customFormat="1" ht="18" customHeight="1">
      <c r="A55" s="75"/>
      <c r="B55" s="83"/>
      <c r="C55" s="84"/>
      <c r="D55" s="657" t="str">
        <f aca="true" t="shared" si="5" ref="D55:D60">IF(T55&lt;24,"",(VLOOKUP(T55,$U$55:$W$60,3,0)))</f>
        <v>Basic Third Party Premium</v>
      </c>
      <c r="E55" s="657"/>
      <c r="F55" s="657"/>
      <c r="G55" s="657"/>
      <c r="H55" s="93" t="str">
        <f aca="true" t="shared" si="6" ref="H55:H60">IF(D55="","",":")</f>
        <v>:</v>
      </c>
      <c r="I55" s="94">
        <f aca="true" t="shared" si="7" ref="I55:I60">IF(T55&lt;24,"",VLOOKUP(T55,$U$55:$W$60,2,0))</f>
        <v>9534</v>
      </c>
      <c r="J55" s="84"/>
      <c r="K55" s="90"/>
      <c r="L55" s="39"/>
      <c r="M55" s="39"/>
      <c r="N55" s="329"/>
      <c r="O55" s="39"/>
      <c r="P55" s="39"/>
      <c r="Q55" s="39"/>
      <c r="R55" s="371">
        <v>1</v>
      </c>
      <c r="S55" s="370">
        <f aca="true" t="shared" si="8" ref="S55:S60">IF(V55=0,R55,U55)</f>
        <v>40</v>
      </c>
      <c r="T55" s="370">
        <f>LARGE($S$55:$S$60,ROWS(S$55:S55))</f>
        <v>40</v>
      </c>
      <c r="U55" s="370">
        <v>40</v>
      </c>
      <c r="V55" s="127">
        <f>$U$18</f>
        <v>9534</v>
      </c>
      <c r="W55" s="99" t="s">
        <v>116</v>
      </c>
      <c r="X55" s="86"/>
      <c r="Y55" s="86"/>
      <c r="Z55" s="127">
        <f>$U$18</f>
        <v>9534</v>
      </c>
      <c r="AA55" s="127">
        <f>$U$18</f>
        <v>9534</v>
      </c>
      <c r="AB55" s="127">
        <f>$U$18</f>
        <v>9534</v>
      </c>
      <c r="AC55" s="127">
        <f>$U$18</f>
        <v>9534</v>
      </c>
      <c r="AD55" s="347">
        <f aca="true" t="shared" si="9" ref="AD55:AD60">V55</f>
        <v>9534</v>
      </c>
      <c r="AE55" s="42"/>
      <c r="AF55" s="42"/>
      <c r="AG55" s="42"/>
      <c r="AH55" s="42"/>
      <c r="AI55" s="42"/>
      <c r="AJ55" s="127">
        <f>$U$18</f>
        <v>9534</v>
      </c>
      <c r="AK55" s="127">
        <f>$U$18</f>
        <v>9534</v>
      </c>
      <c r="AL55" s="127">
        <f>$U$18</f>
        <v>9534</v>
      </c>
      <c r="AM55" s="127">
        <f>$U$18</f>
        <v>9534</v>
      </c>
      <c r="AN55" s="347">
        <f>AM55</f>
        <v>9534</v>
      </c>
      <c r="AO55" s="42"/>
      <c r="AP55" s="42"/>
      <c r="AQ55" s="42"/>
      <c r="AR55" s="42"/>
    </row>
    <row r="56" spans="1:44" s="43" customFormat="1" ht="18" customHeight="1">
      <c r="A56" s="75"/>
      <c r="B56" s="83"/>
      <c r="C56" s="84"/>
      <c r="D56" s="657" t="str">
        <f t="shared" si="5"/>
        <v>Add: Owner Driver Compulsory PA @ 15,00,000</v>
      </c>
      <c r="E56" s="657"/>
      <c r="F56" s="657"/>
      <c r="G56" s="657"/>
      <c r="H56" s="93" t="str">
        <f t="shared" si="6"/>
        <v>:</v>
      </c>
      <c r="I56" s="94">
        <f t="shared" si="7"/>
        <v>900</v>
      </c>
      <c r="J56" s="84"/>
      <c r="K56" s="90"/>
      <c r="L56" s="110"/>
      <c r="M56" s="110"/>
      <c r="N56" s="329"/>
      <c r="O56" s="110"/>
      <c r="P56" s="110"/>
      <c r="Q56" s="39"/>
      <c r="R56" s="371">
        <v>2</v>
      </c>
      <c r="S56" s="370">
        <f t="shared" si="8"/>
        <v>39</v>
      </c>
      <c r="T56" s="370">
        <f>LARGE($S$55:$S$60,ROWS(S$55:S56))</f>
        <v>39</v>
      </c>
      <c r="U56" s="370">
        <v>39</v>
      </c>
      <c r="V56" s="127">
        <f>IF($D$16=$W$16,320,IF($D$16=$W$18,0,900))</f>
        <v>900</v>
      </c>
      <c r="W56" s="99" t="str">
        <f>IF(V56=0,"","Add: Owner Driver Compulsory PA @ 15,00,000")</f>
        <v>Add: Owner Driver Compulsory PA @ 15,00,000</v>
      </c>
      <c r="X56" s="86"/>
      <c r="Y56" s="86"/>
      <c r="Z56" s="127">
        <f>IF($D$16=$W$16,320,IF($D$16=$W$18,0,900))</f>
        <v>900</v>
      </c>
      <c r="AA56" s="127">
        <f>IF($D$16=$W$16,320,IF($D$16=$W$18,0,900))</f>
        <v>900</v>
      </c>
      <c r="AB56" s="127">
        <f>IF($D$16=$W$16,320,IF($D$16=$W$18,0,900))</f>
        <v>900</v>
      </c>
      <c r="AC56" s="127">
        <f>IF($D$16=$W$16,320,IF($D$16=$W$18,0,900))</f>
        <v>900</v>
      </c>
      <c r="AD56" s="347">
        <f t="shared" si="9"/>
        <v>900</v>
      </c>
      <c r="AE56" s="42"/>
      <c r="AF56" s="42"/>
      <c r="AG56" s="42"/>
      <c r="AH56" s="42"/>
      <c r="AI56" s="42"/>
      <c r="AJ56" s="127">
        <f>IF($D$16=$W$16,320,IF($D$16=$W$18,0,900))</f>
        <v>900</v>
      </c>
      <c r="AK56" s="127">
        <f>IF($D$16=$W$16,320,IF($D$16=$W$18,0,900))</f>
        <v>900</v>
      </c>
      <c r="AL56" s="127">
        <f>IF($D$16=$W$16,320,IF($D$16=$W$18,0,900))</f>
        <v>900</v>
      </c>
      <c r="AM56" s="127">
        <f>IF($D$16=$W$16,320,IF($D$16=$W$18,0,900))</f>
        <v>900</v>
      </c>
      <c r="AN56" s="347">
        <f>V56</f>
        <v>900</v>
      </c>
      <c r="AO56" s="42"/>
      <c r="AP56" s="42"/>
      <c r="AQ56" s="42"/>
      <c r="AR56" s="42"/>
    </row>
    <row r="57" spans="1:44" s="43" customFormat="1" ht="18" customHeight="1">
      <c r="A57" s="75"/>
      <c r="B57" s="83"/>
      <c r="C57" s="84"/>
      <c r="D57" s="657" t="str">
        <f t="shared" si="5"/>
        <v>Add: Legal Liability to Paid Driver</v>
      </c>
      <c r="E57" s="657"/>
      <c r="F57" s="657"/>
      <c r="G57" s="657"/>
      <c r="H57" s="93" t="str">
        <f t="shared" si="6"/>
        <v>:</v>
      </c>
      <c r="I57" s="94">
        <f t="shared" si="7"/>
        <v>150</v>
      </c>
      <c r="J57" s="84"/>
      <c r="K57" s="90"/>
      <c r="L57" s="110"/>
      <c r="M57" s="110"/>
      <c r="N57" s="329"/>
      <c r="O57" s="110"/>
      <c r="P57" s="110"/>
      <c r="Q57" s="39"/>
      <c r="R57" s="371">
        <v>3</v>
      </c>
      <c r="S57" s="370">
        <f t="shared" si="8"/>
        <v>3</v>
      </c>
      <c r="T57" s="370">
        <f>LARGE($S$55:$S$60,ROWS(S$55:S57))</f>
        <v>37</v>
      </c>
      <c r="U57" s="370">
        <v>38</v>
      </c>
      <c r="V57" s="127">
        <f>(($F$16/1000*0.5*3)*$E$16)</f>
        <v>0</v>
      </c>
      <c r="W57" s="99">
        <f>IF(V57=0,"",CONCATENATE("Add: Un-Named PA - Occupants: ",F16," Each X ",E16))</f>
      </c>
      <c r="X57" s="86"/>
      <c r="Y57" s="86"/>
      <c r="Z57" s="127">
        <f>(($F$16/1000*0.5*3)*$E$16)</f>
        <v>0</v>
      </c>
      <c r="AA57" s="127">
        <f>(($F$16/1000*0.5*3)*$E$16)</f>
        <v>0</v>
      </c>
      <c r="AB57" s="127">
        <f>(($F$16/1000*0.5*3)*$E$16)</f>
        <v>0</v>
      </c>
      <c r="AC57" s="127">
        <f>(($F$16/1000*0.5*3)*$E$16)</f>
        <v>0</v>
      </c>
      <c r="AD57" s="347">
        <f t="shared" si="9"/>
        <v>0</v>
      </c>
      <c r="AE57" s="42"/>
      <c r="AF57" s="42"/>
      <c r="AG57" s="42"/>
      <c r="AH57" s="42"/>
      <c r="AI57" s="42"/>
      <c r="AJ57" s="127">
        <f>(($F$16/1000*0.5*3)*$E$16)</f>
        <v>0</v>
      </c>
      <c r="AK57" s="127">
        <f>(($F$16/1000*0.5*3)*$E$16)</f>
        <v>0</v>
      </c>
      <c r="AL57" s="127">
        <f>(($F$16/1000*0.5*3)*$E$16)</f>
        <v>0</v>
      </c>
      <c r="AM57" s="127">
        <f>(($F$16/1000*0.5*3)*$E$16)</f>
        <v>0</v>
      </c>
      <c r="AN57" s="347">
        <f>V57</f>
        <v>0</v>
      </c>
      <c r="AO57" s="42"/>
      <c r="AP57" s="42"/>
      <c r="AQ57" s="42"/>
      <c r="AR57" s="42"/>
    </row>
    <row r="58" spans="1:44" s="43" customFormat="1" ht="18" customHeight="1">
      <c r="A58" s="75"/>
      <c r="B58" s="83"/>
      <c r="C58" s="84"/>
      <c r="D58" s="657" t="str">
        <f t="shared" si="5"/>
        <v>Add: Legal Liability to CNG / LPG Kit</v>
      </c>
      <c r="E58" s="657"/>
      <c r="F58" s="657"/>
      <c r="G58" s="657"/>
      <c r="H58" s="93" t="str">
        <f t="shared" si="6"/>
        <v>:</v>
      </c>
      <c r="I58" s="94">
        <f t="shared" si="7"/>
        <v>180</v>
      </c>
      <c r="J58" s="84"/>
      <c r="K58" s="90"/>
      <c r="L58" s="110"/>
      <c r="M58" s="110"/>
      <c r="N58" s="329"/>
      <c r="O58" s="110"/>
      <c r="P58" s="110"/>
      <c r="Q58" s="39"/>
      <c r="R58" s="371">
        <v>4</v>
      </c>
      <c r="S58" s="370">
        <f t="shared" si="8"/>
        <v>37</v>
      </c>
      <c r="T58" s="370">
        <f>LARGE($S$55:$S$60,ROWS(S$55:S58))</f>
        <v>36</v>
      </c>
      <c r="U58" s="370">
        <v>37</v>
      </c>
      <c r="V58" s="127">
        <f>IF($E$19="Yes",150,0)</f>
        <v>150</v>
      </c>
      <c r="W58" s="99" t="str">
        <f>IF(V58=0,"",CONCATENATE("Add: Legal Liability to Paid Driver"))</f>
        <v>Add: Legal Liability to Paid Driver</v>
      </c>
      <c r="X58" s="86"/>
      <c r="Y58" s="86"/>
      <c r="Z58" s="127">
        <f>IF($E$19="Yes",150,0)</f>
        <v>150</v>
      </c>
      <c r="AA58" s="127">
        <f>IF($E$19="Yes",150,0)</f>
        <v>150</v>
      </c>
      <c r="AB58" s="127">
        <f>IF($E$19="Yes",150,0)</f>
        <v>150</v>
      </c>
      <c r="AC58" s="127">
        <f>IF($E$19="Yes",150,0)</f>
        <v>150</v>
      </c>
      <c r="AD58" s="347">
        <f t="shared" si="9"/>
        <v>150</v>
      </c>
      <c r="AE58" s="42"/>
      <c r="AF58" s="42"/>
      <c r="AG58" s="42"/>
      <c r="AH58" s="42"/>
      <c r="AI58" s="42"/>
      <c r="AJ58" s="127">
        <f>IF($E$19="Yes",150,0)</f>
        <v>150</v>
      </c>
      <c r="AK58" s="127">
        <f>IF($E$19="Yes",150,0)</f>
        <v>150</v>
      </c>
      <c r="AL58" s="127">
        <f>IF($E$19="Yes",150,0)</f>
        <v>150</v>
      </c>
      <c r="AM58" s="127">
        <f>IF($E$19="Yes",150,0)</f>
        <v>150</v>
      </c>
      <c r="AN58" s="347">
        <f>V58</f>
        <v>150</v>
      </c>
      <c r="AO58" s="42"/>
      <c r="AP58" s="42"/>
      <c r="AQ58" s="42"/>
      <c r="AR58" s="42"/>
    </row>
    <row r="59" spans="1:44" s="43" customFormat="1" ht="18" customHeight="1">
      <c r="A59" s="75"/>
      <c r="B59" s="83"/>
      <c r="C59" s="84"/>
      <c r="D59" s="657">
        <f t="shared" si="5"/>
      </c>
      <c r="E59" s="657"/>
      <c r="F59" s="657"/>
      <c r="G59" s="657"/>
      <c r="H59" s="93">
        <f t="shared" si="6"/>
      </c>
      <c r="I59" s="94">
        <f t="shared" si="7"/>
      </c>
      <c r="J59" s="84"/>
      <c r="K59" s="90"/>
      <c r="L59" s="110"/>
      <c r="M59" s="110"/>
      <c r="N59" s="329"/>
      <c r="O59" s="110"/>
      <c r="P59" s="110"/>
      <c r="Q59" s="39"/>
      <c r="R59" s="371">
        <v>5</v>
      </c>
      <c r="S59" s="370">
        <f t="shared" si="8"/>
        <v>36</v>
      </c>
      <c r="T59" s="370">
        <f>LARGE($S$55:$S$60,ROWS(S$55:S59))</f>
        <v>6</v>
      </c>
      <c r="U59" s="370">
        <v>36</v>
      </c>
      <c r="V59" s="127">
        <f>IF($G$12="Yes",180,0)</f>
        <v>180</v>
      </c>
      <c r="W59" s="99" t="str">
        <f>IF(V59=0,"","Add: Legal Liability to CNG / LPG Kit")</f>
        <v>Add: Legal Liability to CNG / LPG Kit</v>
      </c>
      <c r="X59" s="86"/>
      <c r="Y59" s="86"/>
      <c r="Z59" s="127">
        <f>IF($G$12="Yes",180,0)</f>
        <v>180</v>
      </c>
      <c r="AA59" s="127">
        <f>IF($G$12="Yes",180,0)</f>
        <v>180</v>
      </c>
      <c r="AB59" s="127">
        <f>IF($G$12="Yes",180,0)</f>
        <v>180</v>
      </c>
      <c r="AC59" s="127">
        <f>IF($G$12="Yes",180,0)</f>
        <v>180</v>
      </c>
      <c r="AD59" s="347">
        <f t="shared" si="9"/>
        <v>180</v>
      </c>
      <c r="AE59" s="42"/>
      <c r="AF59" s="42"/>
      <c r="AG59" s="42"/>
      <c r="AH59" s="42"/>
      <c r="AI59" s="42"/>
      <c r="AJ59" s="127">
        <f>IF($G$12="Yes",180,0)</f>
        <v>180</v>
      </c>
      <c r="AK59" s="127">
        <f>IF($G$12="Yes",180,0)</f>
        <v>180</v>
      </c>
      <c r="AL59" s="127">
        <f>IF($G$12="Yes",180,0)</f>
        <v>180</v>
      </c>
      <c r="AM59" s="127">
        <f>IF($G$12="Yes",180,0)</f>
        <v>180</v>
      </c>
      <c r="AN59" s="347">
        <f>V59</f>
        <v>180</v>
      </c>
      <c r="AO59" s="42"/>
      <c r="AP59" s="42"/>
      <c r="AQ59" s="42"/>
      <c r="AR59" s="42"/>
    </row>
    <row r="60" spans="1:44" s="43" customFormat="1" ht="18" customHeight="1">
      <c r="A60" s="75"/>
      <c r="B60" s="83"/>
      <c r="C60" s="84"/>
      <c r="D60" s="657">
        <f t="shared" si="5"/>
      </c>
      <c r="E60" s="657"/>
      <c r="F60" s="657"/>
      <c r="G60" s="657"/>
      <c r="H60" s="93">
        <f t="shared" si="6"/>
      </c>
      <c r="I60" s="94">
        <f t="shared" si="7"/>
      </c>
      <c r="J60" s="84"/>
      <c r="K60" s="90"/>
      <c r="L60" s="110"/>
      <c r="M60" s="110"/>
      <c r="N60" s="167"/>
      <c r="O60" s="110"/>
      <c r="P60" s="110"/>
      <c r="Q60" s="39"/>
      <c r="R60" s="371">
        <v>6</v>
      </c>
      <c r="S60" s="370">
        <f t="shared" si="8"/>
        <v>6</v>
      </c>
      <c r="T60" s="370">
        <f>LARGE($S$55:$S$60,ROWS(S$55:S60))</f>
        <v>3</v>
      </c>
      <c r="U60" s="370">
        <v>35</v>
      </c>
      <c r="V60" s="127">
        <f>-IF($G$19="Limited",300,0)</f>
        <v>0</v>
      </c>
      <c r="W60" s="99">
        <f>IF(V60=0,"","Less: Prem on Limiting TPPD upto Rs.6000/-")</f>
      </c>
      <c r="X60" s="86"/>
      <c r="Y60" s="86"/>
      <c r="Z60" s="127">
        <f>-IF($G$19="Limited",300,0)</f>
        <v>0</v>
      </c>
      <c r="AA60" s="127">
        <f>-IF($G$19="Limited",300,0)</f>
        <v>0</v>
      </c>
      <c r="AB60" s="127">
        <f>-IF($G$19="Limited",300,0)</f>
        <v>0</v>
      </c>
      <c r="AC60" s="127">
        <f>-IF($G$19="Limited",300,0)</f>
        <v>0</v>
      </c>
      <c r="AD60" s="347">
        <f t="shared" si="9"/>
        <v>0</v>
      </c>
      <c r="AE60" s="42"/>
      <c r="AF60" s="42"/>
      <c r="AG60" s="42"/>
      <c r="AH60" s="42"/>
      <c r="AI60" s="42"/>
      <c r="AJ60" s="127">
        <f>-IF($G$19="Limited",300,0)</f>
        <v>0</v>
      </c>
      <c r="AK60" s="127">
        <f>-IF($G$19="Limited",300,0)</f>
        <v>0</v>
      </c>
      <c r="AL60" s="127">
        <f>-IF($G$19="Limited",300,0)</f>
        <v>0</v>
      </c>
      <c r="AM60" s="127">
        <f>-IF($G$19="Limited",300,0)</f>
        <v>0</v>
      </c>
      <c r="AN60" s="347">
        <f>V60</f>
        <v>0</v>
      </c>
      <c r="AO60" s="42"/>
      <c r="AP60" s="42"/>
      <c r="AQ60" s="42"/>
      <c r="AR60" s="42"/>
    </row>
    <row r="61" spans="1:44" s="43" customFormat="1" ht="18" customHeight="1">
      <c r="A61" s="75"/>
      <c r="B61" s="83"/>
      <c r="C61" s="84"/>
      <c r="D61" s="658" t="s">
        <v>379</v>
      </c>
      <c r="E61" s="658"/>
      <c r="F61" s="658"/>
      <c r="G61" s="658"/>
      <c r="H61" s="101" t="s">
        <v>106</v>
      </c>
      <c r="I61" s="102">
        <f>V61</f>
        <v>10764</v>
      </c>
      <c r="J61" s="84"/>
      <c r="K61" s="90"/>
      <c r="L61" s="110"/>
      <c r="M61" s="110"/>
      <c r="N61" s="167"/>
      <c r="O61" s="110"/>
      <c r="P61" s="110"/>
      <c r="Q61" s="39"/>
      <c r="R61" s="103"/>
      <c r="S61" s="39"/>
      <c r="T61" s="39"/>
      <c r="U61" s="74"/>
      <c r="V61" s="127">
        <f>ROUND(SUM($V$55:$V$60),0)</f>
        <v>10764</v>
      </c>
      <c r="W61" s="86"/>
      <c r="X61" s="86"/>
      <c r="Y61" s="86"/>
      <c r="Z61" s="127">
        <f>ROUND(SUM($Z$55:$Z$60),0)</f>
        <v>10764</v>
      </c>
      <c r="AA61" s="127">
        <f>ROUND(SUM($AA$55:$AA$60),0)</f>
        <v>10764</v>
      </c>
      <c r="AB61" s="127">
        <f>ROUND(SUM($AB$55:$AB$60),0)</f>
        <v>10764</v>
      </c>
      <c r="AC61" s="127">
        <f>ROUND(SUM($AC$55:$AC$60),0)</f>
        <v>10764</v>
      </c>
      <c r="AD61" s="347">
        <f>ROUND(SUM($AD$55:$AD$60),0)</f>
        <v>10764</v>
      </c>
      <c r="AE61" s="42"/>
      <c r="AF61" s="42"/>
      <c r="AG61" s="42"/>
      <c r="AH61" s="42"/>
      <c r="AI61" s="42"/>
      <c r="AJ61" s="127">
        <f>ROUND(SUM($AJ$55:$AJ$60),0)</f>
        <v>10764</v>
      </c>
      <c r="AK61" s="127">
        <f>ROUND(SUM($AK$55:$AK$60),0)</f>
        <v>10764</v>
      </c>
      <c r="AL61" s="127">
        <f>ROUND(SUM($AL$55:$AL$60),0)</f>
        <v>10764</v>
      </c>
      <c r="AM61" s="127">
        <f>ROUND(SUM($AM$55:$AM$60),0)</f>
        <v>10764</v>
      </c>
      <c r="AN61" s="347">
        <f>ROUND(SUM($AD$55:$AD$60),0)</f>
        <v>10764</v>
      </c>
      <c r="AO61" s="42"/>
      <c r="AP61" s="42"/>
      <c r="AQ61" s="42"/>
      <c r="AR61" s="42"/>
    </row>
    <row r="62" spans="1:44" s="43" customFormat="1" ht="18" customHeight="1">
      <c r="A62" s="75"/>
      <c r="B62" s="83"/>
      <c r="C62" s="84"/>
      <c r="D62" s="662" t="s">
        <v>380</v>
      </c>
      <c r="E62" s="662"/>
      <c r="F62" s="662"/>
      <c r="G62" s="662"/>
      <c r="H62" s="93" t="s">
        <v>106</v>
      </c>
      <c r="I62" s="106">
        <f>SUM(I61,I54)</f>
        <v>42041</v>
      </c>
      <c r="J62" s="84"/>
      <c r="K62" s="90"/>
      <c r="L62" s="110"/>
      <c r="M62" s="110"/>
      <c r="N62" s="167"/>
      <c r="O62" s="110"/>
      <c r="P62" s="110"/>
      <c r="Q62" s="39"/>
      <c r="R62" s="103"/>
      <c r="S62" s="39"/>
      <c r="T62" s="39"/>
      <c r="U62" s="74"/>
      <c r="V62" s="127">
        <f>SUM($V$61,$V$54)</f>
        <v>42041</v>
      </c>
      <c r="W62" s="129"/>
      <c r="X62" s="86"/>
      <c r="Y62" s="86"/>
      <c r="Z62" s="127">
        <f>IF(Z46=0,0,IF(Z49=0,0,SUM($Z$61,$Z$54)))</f>
        <v>40671</v>
      </c>
      <c r="AA62" s="127">
        <f>IF(AA46=0,0,SUM($AA$61,$AA$54))</f>
        <v>38844</v>
      </c>
      <c r="AB62" s="127">
        <f>IF(AB49=0,0,SUM($AB$61,$AB$54))</f>
        <v>37009</v>
      </c>
      <c r="AC62" s="127">
        <f>IF(AC54=0,0,SUM($AC$61,$AC$54))</f>
        <v>35182</v>
      </c>
      <c r="AD62" s="347">
        <f>SUM($AD$61,$AD$54)</f>
        <v>10764</v>
      </c>
      <c r="AE62" s="42"/>
      <c r="AF62" s="42"/>
      <c r="AG62" s="42"/>
      <c r="AH62" s="42"/>
      <c r="AI62" s="42"/>
      <c r="AJ62" s="127">
        <f>IF(AJ46=0,0,IF(AJ49=0,0,SUM($AJ$61,$AJ$54)))</f>
        <v>71908</v>
      </c>
      <c r="AK62" s="127">
        <f>IF(AK46=0,0,SUM($AK$61,$AK$54))</f>
        <v>61824</v>
      </c>
      <c r="AL62" s="127">
        <f>IF(AL49=0,0,SUM($AL$61,$AL$54))</f>
        <v>59351</v>
      </c>
      <c r="AM62" s="127">
        <f>IF(AM54=0,0,SUM($AM$61,$AM$54))</f>
        <v>49267</v>
      </c>
      <c r="AN62" s="347">
        <f>SUM($AD$61,$AD$54)</f>
        <v>10764</v>
      </c>
      <c r="AO62" s="42"/>
      <c r="AP62" s="42"/>
      <c r="AQ62" s="42"/>
      <c r="AR62" s="42"/>
    </row>
    <row r="63" spans="1:44" s="43" customFormat="1" ht="18" customHeight="1">
      <c r="A63" s="75"/>
      <c r="B63" s="83"/>
      <c r="C63" s="84"/>
      <c r="D63" s="662" t="str">
        <f>CONCATENATE("Add: GST (Goods and Services Tax) @ ",Sign!$F$15,"%")</f>
        <v>Add: GST (Goods and Services Tax) @ 18%</v>
      </c>
      <c r="E63" s="662"/>
      <c r="F63" s="662"/>
      <c r="G63" s="662"/>
      <c r="H63" s="93" t="s">
        <v>106</v>
      </c>
      <c r="I63" s="106">
        <f>V63</f>
        <v>7568</v>
      </c>
      <c r="J63" s="84"/>
      <c r="K63" s="90"/>
      <c r="L63" s="110"/>
      <c r="M63" s="110"/>
      <c r="N63" s="167"/>
      <c r="O63" s="110"/>
      <c r="P63" s="110"/>
      <c r="Q63" s="39"/>
      <c r="R63" s="39"/>
      <c r="S63" s="39"/>
      <c r="T63" s="39"/>
      <c r="U63" s="74"/>
      <c r="V63" s="127">
        <f>SUM($V$67:$V$69)</f>
        <v>7568</v>
      </c>
      <c r="W63" s="129"/>
      <c r="X63" s="86"/>
      <c r="Y63" s="86"/>
      <c r="Z63" s="127">
        <f>SUM($Z$67:$Z$69)</f>
        <v>7320</v>
      </c>
      <c r="AA63" s="127">
        <f>SUM($AA$67:$AA$69)</f>
        <v>6992</v>
      </c>
      <c r="AB63" s="127">
        <f>SUM($AB$67:$AB$69)</f>
        <v>6662</v>
      </c>
      <c r="AC63" s="127">
        <f>SUM($AC$67:$AC$69)</f>
        <v>6332</v>
      </c>
      <c r="AD63" s="347">
        <f>SUM($AD$67:$AD$69)</f>
        <v>1938</v>
      </c>
      <c r="AE63" s="42"/>
      <c r="AF63" s="42"/>
      <c r="AG63" s="42"/>
      <c r="AH63" s="42"/>
      <c r="AI63" s="42"/>
      <c r="AJ63" s="127">
        <f>SUM($AJ$67:$AJ$69)</f>
        <v>12944</v>
      </c>
      <c r="AK63" s="127">
        <f>SUM($AK$67:$AK$69)</f>
        <v>11128</v>
      </c>
      <c r="AL63" s="127">
        <f>SUM($AL$67:$AL$69)</f>
        <v>10684</v>
      </c>
      <c r="AM63" s="127">
        <f>SUM($AM$67:$AM$69)</f>
        <v>8868</v>
      </c>
      <c r="AN63" s="347">
        <f>SUM($AD$67:$AD$69)</f>
        <v>1938</v>
      </c>
      <c r="AO63" s="42"/>
      <c r="AP63" s="42"/>
      <c r="AQ63" s="42"/>
      <c r="AR63" s="42"/>
    </row>
    <row r="64" spans="1:44" s="43" customFormat="1" ht="18" customHeight="1">
      <c r="A64" s="75"/>
      <c r="B64" s="83"/>
      <c r="C64" s="84"/>
      <c r="D64" s="658" t="s">
        <v>378</v>
      </c>
      <c r="E64" s="658"/>
      <c r="F64" s="658"/>
      <c r="G64" s="317"/>
      <c r="H64" s="101" t="s">
        <v>106</v>
      </c>
      <c r="I64" s="102">
        <f>SUM(I62:I63)</f>
        <v>49609</v>
      </c>
      <c r="J64" s="84"/>
      <c r="K64" s="90"/>
      <c r="L64" s="110"/>
      <c r="M64" s="110"/>
      <c r="N64" s="167"/>
      <c r="O64" s="110"/>
      <c r="P64" s="110"/>
      <c r="Q64" s="39"/>
      <c r="R64" s="74"/>
      <c r="S64" s="39"/>
      <c r="T64" s="39"/>
      <c r="U64" s="74"/>
      <c r="V64" s="130">
        <f>SUM($V$62:$V$63)</f>
        <v>49609</v>
      </c>
      <c r="W64" s="129"/>
      <c r="X64" s="131"/>
      <c r="Y64" s="131"/>
      <c r="Z64" s="130">
        <f>SUM($Z$62:$Z$63)</f>
        <v>47991</v>
      </c>
      <c r="AA64" s="130">
        <f>SUM($AA$62:$AA$63)</f>
        <v>45836</v>
      </c>
      <c r="AB64" s="130">
        <f>SUM($AB$62:$AB$63)</f>
        <v>43671</v>
      </c>
      <c r="AC64" s="130">
        <f>SUM($AC$62:$AC$63)</f>
        <v>41514</v>
      </c>
      <c r="AD64" s="349">
        <f>SUM($AD$62:$AD$63)</f>
        <v>12702</v>
      </c>
      <c r="AE64" s="42"/>
      <c r="AF64" s="42"/>
      <c r="AG64" s="42"/>
      <c r="AH64" s="42"/>
      <c r="AI64" s="42"/>
      <c r="AJ64" s="130">
        <f>SUM($AJ$62:$AJ$63)</f>
        <v>84852</v>
      </c>
      <c r="AK64" s="130">
        <f>SUM($AK$62:$AK$63)</f>
        <v>72952</v>
      </c>
      <c r="AL64" s="130">
        <f>SUM($AL$62:$AL$63)</f>
        <v>70035</v>
      </c>
      <c r="AM64" s="130">
        <f>SUM($AM$62:$AM$63)</f>
        <v>58135</v>
      </c>
      <c r="AN64" s="349">
        <f>SUM($AD$62:$AD$63)</f>
        <v>12702</v>
      </c>
      <c r="AO64" s="42"/>
      <c r="AP64" s="42"/>
      <c r="AQ64" s="42"/>
      <c r="AR64" s="42"/>
    </row>
    <row r="65" spans="1:44" s="43" customFormat="1" ht="7.5" customHeight="1">
      <c r="A65" s="79"/>
      <c r="B65" s="109"/>
      <c r="C65" s="84"/>
      <c r="D65" s="84"/>
      <c r="E65" s="84"/>
      <c r="F65" s="84"/>
      <c r="G65" s="84"/>
      <c r="H65" s="84"/>
      <c r="I65" s="84"/>
      <c r="J65" s="84"/>
      <c r="K65" s="90"/>
      <c r="L65" s="110"/>
      <c r="M65" s="110"/>
      <c r="N65" s="167"/>
      <c r="O65" s="110"/>
      <c r="P65" s="110"/>
      <c r="Q65" s="39"/>
      <c r="R65" s="74"/>
      <c r="S65" s="74"/>
      <c r="T65" s="74"/>
      <c r="U65" s="74"/>
      <c r="V65" s="74"/>
      <c r="W65" s="131"/>
      <c r="X65" s="131"/>
      <c r="Y65" s="131"/>
      <c r="Z65" s="131"/>
      <c r="AA65" s="131"/>
      <c r="AB65" s="131"/>
      <c r="AC65" s="131"/>
      <c r="AD65" s="131"/>
      <c r="AE65" s="131"/>
      <c r="AF65" s="42"/>
      <c r="AG65" s="42"/>
      <c r="AH65" s="42"/>
      <c r="AI65" s="42"/>
      <c r="AJ65" s="131"/>
      <c r="AK65" s="131"/>
      <c r="AL65" s="131"/>
      <c r="AM65" s="131"/>
      <c r="AN65" s="131"/>
      <c r="AO65" s="131"/>
      <c r="AP65" s="42"/>
      <c r="AQ65" s="42"/>
      <c r="AR65" s="42"/>
    </row>
    <row r="66" spans="1:44" s="43" customFormat="1" ht="3" customHeight="1">
      <c r="A66" s="79"/>
      <c r="B66" s="659"/>
      <c r="C66" s="659"/>
      <c r="D66" s="659"/>
      <c r="E66" s="659"/>
      <c r="F66" s="659"/>
      <c r="G66" s="659"/>
      <c r="H66" s="659"/>
      <c r="I66" s="659"/>
      <c r="J66" s="659"/>
      <c r="K66" s="90"/>
      <c r="L66" s="110"/>
      <c r="M66" s="110"/>
      <c r="N66" s="167"/>
      <c r="O66" s="110"/>
      <c r="P66" s="110"/>
      <c r="Q66" s="39"/>
      <c r="R66" s="74"/>
      <c r="S66" s="74"/>
      <c r="T66" s="74"/>
      <c r="U66" s="74"/>
      <c r="V66" s="74"/>
      <c r="W66" s="111"/>
      <c r="X66" s="111"/>
      <c r="Y66" s="111"/>
      <c r="Z66" s="111"/>
      <c r="AA66" s="111"/>
      <c r="AB66" s="111"/>
      <c r="AC66" s="111"/>
      <c r="AD66" s="111"/>
      <c r="AE66" s="111"/>
      <c r="AF66" s="42"/>
      <c r="AG66" s="42"/>
      <c r="AH66" s="42"/>
      <c r="AI66" s="42"/>
      <c r="AJ66" s="111"/>
      <c r="AK66" s="111"/>
      <c r="AL66" s="111"/>
      <c r="AM66" s="111"/>
      <c r="AN66" s="111"/>
      <c r="AO66" s="111"/>
      <c r="AP66" s="42"/>
      <c r="AQ66" s="42"/>
      <c r="AR66" s="42"/>
    </row>
    <row r="67" spans="1:44" s="43" customFormat="1" ht="15">
      <c r="A67" s="79"/>
      <c r="B67" s="693" t="str">
        <f>Sign!A16</f>
        <v>G. Lingachari, AO (Mktg), DO-VI, 98856 32211, 040 2340 3147, lingachari@orientalinsurance.co.in</v>
      </c>
      <c r="C67" s="693"/>
      <c r="D67" s="693"/>
      <c r="E67" s="693"/>
      <c r="F67" s="693"/>
      <c r="G67" s="693"/>
      <c r="H67" s="693"/>
      <c r="I67" s="693"/>
      <c r="J67" s="663"/>
      <c r="K67" s="90"/>
      <c r="L67" s="110"/>
      <c r="M67" s="110"/>
      <c r="N67" s="167"/>
      <c r="O67" s="110"/>
      <c r="P67" s="110"/>
      <c r="Q67" s="39"/>
      <c r="R67" s="74"/>
      <c r="S67" s="74"/>
      <c r="T67" s="74"/>
      <c r="U67" s="350" t="s">
        <v>312</v>
      </c>
      <c r="V67" s="346">
        <f>ROUND($V$62*Sign!$E$12%,0)</f>
        <v>3784</v>
      </c>
      <c r="W67" s="351"/>
      <c r="X67" s="351"/>
      <c r="Y67" s="351"/>
      <c r="Z67" s="346">
        <f>ROUND($Z$62*Sign!$E$12%,0)</f>
        <v>3660</v>
      </c>
      <c r="AA67" s="346">
        <f>ROUND($AA$62*Sign!$E$12%,0)</f>
        <v>3496</v>
      </c>
      <c r="AB67" s="346">
        <f>ROUND($AB$62*Sign!$E$12%,0)</f>
        <v>3331</v>
      </c>
      <c r="AC67" s="346">
        <f>ROUND($AC$62*Sign!$E$12%,0)</f>
        <v>3166</v>
      </c>
      <c r="AD67" s="346">
        <f>ROUND($AD$62*Sign!$E$12%,0)</f>
        <v>969</v>
      </c>
      <c r="AE67" s="42"/>
      <c r="AF67" s="42"/>
      <c r="AG67" s="42"/>
      <c r="AH67" s="42"/>
      <c r="AI67" s="42"/>
      <c r="AJ67" s="346">
        <f>ROUND($AJ$62*Sign!$E$12%,0)</f>
        <v>6472</v>
      </c>
      <c r="AK67" s="346">
        <f>ROUND($AK$62*Sign!$E$12%,0)</f>
        <v>5564</v>
      </c>
      <c r="AL67" s="346">
        <f>ROUND($AL$62*Sign!$E$12%,0)</f>
        <v>5342</v>
      </c>
      <c r="AM67" s="346">
        <f>ROUND($AM$62*Sign!$E$12%,0)</f>
        <v>4434</v>
      </c>
      <c r="AN67" s="346">
        <f>ROUND($AD$62*Sign!$E$12%,0)</f>
        <v>969</v>
      </c>
      <c r="AO67" s="42"/>
      <c r="AP67" s="42"/>
      <c r="AQ67" s="42"/>
      <c r="AR67" s="42"/>
    </row>
    <row r="68" spans="1:44" s="43" customFormat="1" ht="3" customHeight="1">
      <c r="A68" s="79"/>
      <c r="B68" s="113"/>
      <c r="C68" s="114"/>
      <c r="D68" s="114"/>
      <c r="E68" s="114"/>
      <c r="F68" s="114"/>
      <c r="G68" s="114"/>
      <c r="H68" s="114"/>
      <c r="I68" s="114"/>
      <c r="J68" s="114"/>
      <c r="K68" s="115"/>
      <c r="L68" s="110"/>
      <c r="M68" s="110"/>
      <c r="N68" s="167"/>
      <c r="O68" s="110"/>
      <c r="P68" s="110"/>
      <c r="Q68" s="39"/>
      <c r="R68" s="74"/>
      <c r="S68" s="74"/>
      <c r="T68" s="74"/>
      <c r="U68" s="162"/>
      <c r="V68" s="162"/>
      <c r="W68" s="162"/>
      <c r="X68" s="162"/>
      <c r="Y68" s="162"/>
      <c r="Z68" s="162"/>
      <c r="AA68" s="162"/>
      <c r="AB68" s="162"/>
      <c r="AC68" s="162"/>
      <c r="AD68" s="162"/>
      <c r="AE68" s="74"/>
      <c r="AF68" s="42"/>
      <c r="AG68" s="42"/>
      <c r="AH68" s="42"/>
      <c r="AI68" s="42"/>
      <c r="AJ68" s="162"/>
      <c r="AK68" s="162"/>
      <c r="AL68" s="162"/>
      <c r="AM68" s="162"/>
      <c r="AN68" s="162"/>
      <c r="AO68" s="74"/>
      <c r="AP68" s="42"/>
      <c r="AQ68" s="42"/>
      <c r="AR68" s="42"/>
    </row>
    <row r="69" spans="1:44" ht="9" customHeight="1">
      <c r="A69" s="79"/>
      <c r="B69" s="79"/>
      <c r="C69" s="79"/>
      <c r="D69" s="79"/>
      <c r="E69" s="79"/>
      <c r="F69" s="79"/>
      <c r="G69" s="79"/>
      <c r="H69" s="79"/>
      <c r="I69" s="79"/>
      <c r="J69" s="79"/>
      <c r="K69" s="116"/>
      <c r="L69" s="110"/>
      <c r="M69" s="110"/>
      <c r="N69" s="167"/>
      <c r="O69" s="110"/>
      <c r="P69" s="110"/>
      <c r="Q69" s="39"/>
      <c r="R69" s="74"/>
      <c r="S69" s="74"/>
      <c r="T69" s="74"/>
      <c r="U69" s="350" t="s">
        <v>313</v>
      </c>
      <c r="V69" s="346">
        <f>ROUND($V$62*Sign!$E$13%,0)</f>
        <v>3784</v>
      </c>
      <c r="W69" s="352"/>
      <c r="X69" s="352"/>
      <c r="Y69" s="352"/>
      <c r="Z69" s="346">
        <f>ROUND($Z$62*Sign!$E$13%,0)</f>
        <v>3660</v>
      </c>
      <c r="AA69" s="346">
        <f>ROUND($AA$62*Sign!$E$13%,0)</f>
        <v>3496</v>
      </c>
      <c r="AB69" s="346">
        <f>ROUND($AB$62*Sign!$E$13%,0)</f>
        <v>3331</v>
      </c>
      <c r="AC69" s="346">
        <f>ROUND($AC$62*Sign!$E$13%,0)</f>
        <v>3166</v>
      </c>
      <c r="AD69" s="346">
        <f>ROUND($AD$62*Sign!$E$13%,0)</f>
        <v>969</v>
      </c>
      <c r="AE69" s="77"/>
      <c r="AF69" s="77"/>
      <c r="AG69" s="77"/>
      <c r="AH69" s="42"/>
      <c r="AI69" s="42"/>
      <c r="AJ69" s="346">
        <f>ROUND($AJ$62*Sign!$E$13%,0)</f>
        <v>6472</v>
      </c>
      <c r="AK69" s="346">
        <f>ROUND($AK$62*Sign!$E$13%,0)</f>
        <v>5564</v>
      </c>
      <c r="AL69" s="346">
        <f>ROUND($AL$62*Sign!$E$13%,0)</f>
        <v>5342</v>
      </c>
      <c r="AM69" s="346">
        <f>ROUND($AM$62*Sign!$E$13%,0)</f>
        <v>4434</v>
      </c>
      <c r="AN69" s="346">
        <f>ROUND($AD$62*Sign!$E$13%,0)</f>
        <v>969</v>
      </c>
      <c r="AO69" s="77"/>
      <c r="AP69" s="77"/>
      <c r="AQ69" s="77"/>
      <c r="AR69" s="42"/>
    </row>
    <row r="70" spans="14:23" ht="15" customHeight="1" hidden="1">
      <c r="N70" s="392"/>
      <c r="O70" s="392" t="s">
        <v>252</v>
      </c>
      <c r="P70" s="393" t="s">
        <v>254</v>
      </c>
      <c r="R70" s="394" t="s">
        <v>304</v>
      </c>
      <c r="S70" s="394" t="s">
        <v>272</v>
      </c>
      <c r="T70" s="395" t="s">
        <v>273</v>
      </c>
      <c r="U70" s="396" t="s">
        <v>341</v>
      </c>
      <c r="V70" s="396" t="s">
        <v>274</v>
      </c>
      <c r="W70" s="396" t="s">
        <v>275</v>
      </c>
    </row>
    <row r="71" spans="14:29" ht="15" customHeight="1" hidden="1">
      <c r="N71" s="397"/>
      <c r="O71" s="397" t="s">
        <v>342</v>
      </c>
      <c r="P71" s="397" t="s">
        <v>255</v>
      </c>
      <c r="R71" s="398">
        <v>1</v>
      </c>
      <c r="S71" s="398" t="s">
        <v>258</v>
      </c>
      <c r="T71" s="398" t="s">
        <v>276</v>
      </c>
      <c r="U71" s="399">
        <v>10</v>
      </c>
      <c r="V71" s="400">
        <v>45</v>
      </c>
      <c r="W71" s="400">
        <v>35</v>
      </c>
      <c r="Y71" s="401" t="s">
        <v>276</v>
      </c>
      <c r="Z71" s="326">
        <f>IF(O21="",0,1)</f>
        <v>0</v>
      </c>
      <c r="AA71" s="326" t="e">
        <f>IF(#REF!=Z73,1,IF(#REF!=Z74,2,IF(#REF!=Z75,3,0)))</f>
        <v>#REF!</v>
      </c>
      <c r="AB71" s="326" t="str">
        <f>IF(O20="",0,VLOOKUP(O20,O70:P100,2))</f>
        <v>E4</v>
      </c>
      <c r="AC71" s="326">
        <f>IF(Z71=0,0,IF(AA71=0,0,IF(AB71=0,0,1)))</f>
        <v>0</v>
      </c>
    </row>
    <row r="72" spans="14:29" ht="15" customHeight="1" hidden="1">
      <c r="N72" s="397"/>
      <c r="O72" s="397" t="s">
        <v>343</v>
      </c>
      <c r="P72" s="397" t="s">
        <v>255</v>
      </c>
      <c r="R72" s="398">
        <v>2</v>
      </c>
      <c r="S72" s="398" t="s">
        <v>267</v>
      </c>
      <c r="T72" s="398" t="s">
        <v>276</v>
      </c>
      <c r="U72" s="399">
        <v>10</v>
      </c>
      <c r="V72" s="400">
        <v>45</v>
      </c>
      <c r="W72" s="400">
        <v>35</v>
      </c>
      <c r="Y72" s="402" t="s">
        <v>302</v>
      </c>
      <c r="Z72" s="326">
        <f>_xlfn.SUMIFS(R67:R588,S67:S588,AB71,T67:T588,O21)</f>
        <v>0</v>
      </c>
      <c r="AA72" s="326" t="e">
        <f>VLOOKUP(Z72,R71:W592,IF(AA71=1,4,IF(AA71=2,5,6)))</f>
        <v>#REF!</v>
      </c>
      <c r="AB72" s="326"/>
      <c r="AC72" s="326"/>
    </row>
    <row r="73" spans="14:29" ht="15" customHeight="1" hidden="1">
      <c r="N73" s="392"/>
      <c r="O73" s="392" t="s">
        <v>344</v>
      </c>
      <c r="P73" s="393" t="s">
        <v>256</v>
      </c>
      <c r="R73" s="398">
        <v>3</v>
      </c>
      <c r="S73" s="398" t="s">
        <v>271</v>
      </c>
      <c r="T73" s="398" t="s">
        <v>276</v>
      </c>
      <c r="U73" s="399">
        <v>20</v>
      </c>
      <c r="V73" s="400">
        <v>45</v>
      </c>
      <c r="W73" s="400">
        <v>35</v>
      </c>
      <c r="Y73" s="401" t="s">
        <v>277</v>
      </c>
      <c r="Z73" s="326" t="s">
        <v>253</v>
      </c>
      <c r="AA73" s="325"/>
      <c r="AB73" s="326"/>
      <c r="AC73" s="326"/>
    </row>
    <row r="74" spans="14:29" ht="15" customHeight="1" hidden="1">
      <c r="N74" s="397"/>
      <c r="O74" s="397" t="s">
        <v>345</v>
      </c>
      <c r="P74" s="397" t="s">
        <v>257</v>
      </c>
      <c r="R74" s="398">
        <v>4</v>
      </c>
      <c r="S74" s="398" t="s">
        <v>256</v>
      </c>
      <c r="T74" s="398" t="s">
        <v>276</v>
      </c>
      <c r="U74" s="399">
        <v>10</v>
      </c>
      <c r="V74" s="400">
        <v>45</v>
      </c>
      <c r="W74" s="400">
        <v>35</v>
      </c>
      <c r="Y74" s="401" t="s">
        <v>278</v>
      </c>
      <c r="Z74" s="326" t="s">
        <v>372</v>
      </c>
      <c r="AA74" s="325"/>
      <c r="AB74" s="325"/>
      <c r="AC74" s="325"/>
    </row>
    <row r="75" spans="14:29" ht="15" customHeight="1" hidden="1">
      <c r="N75" s="397"/>
      <c r="O75" s="397" t="s">
        <v>346</v>
      </c>
      <c r="P75" s="393" t="s">
        <v>258</v>
      </c>
      <c r="R75" s="398">
        <v>5</v>
      </c>
      <c r="S75" s="398" t="s">
        <v>255</v>
      </c>
      <c r="T75" s="398" t="s">
        <v>276</v>
      </c>
      <c r="U75" s="399">
        <v>10</v>
      </c>
      <c r="V75" s="400">
        <v>45</v>
      </c>
      <c r="W75" s="400">
        <v>35</v>
      </c>
      <c r="Y75" s="401" t="s">
        <v>279</v>
      </c>
      <c r="Z75" s="326" t="s">
        <v>308</v>
      </c>
      <c r="AA75" s="325"/>
      <c r="AB75" s="325"/>
      <c r="AC75" s="325"/>
    </row>
    <row r="76" spans="14:25" ht="15" customHeight="1" hidden="1">
      <c r="N76" s="397"/>
      <c r="O76" s="397" t="s">
        <v>347</v>
      </c>
      <c r="P76" s="397" t="s">
        <v>259</v>
      </c>
      <c r="R76" s="398">
        <v>6</v>
      </c>
      <c r="S76" s="398" t="s">
        <v>265</v>
      </c>
      <c r="T76" s="398" t="s">
        <v>276</v>
      </c>
      <c r="U76" s="399">
        <v>10</v>
      </c>
      <c r="V76" s="400">
        <v>45</v>
      </c>
      <c r="W76" s="400">
        <v>35</v>
      </c>
      <c r="Y76" s="401" t="s">
        <v>280</v>
      </c>
    </row>
    <row r="77" spans="14:25" ht="15" customHeight="1" hidden="1">
      <c r="N77" s="393"/>
      <c r="O77" s="393" t="s">
        <v>348</v>
      </c>
      <c r="P77" s="393" t="s">
        <v>260</v>
      </c>
      <c r="R77" s="398">
        <v>7</v>
      </c>
      <c r="S77" s="398" t="s">
        <v>257</v>
      </c>
      <c r="T77" s="398" t="s">
        <v>276</v>
      </c>
      <c r="U77" s="399">
        <v>10</v>
      </c>
      <c r="V77" s="400">
        <v>45</v>
      </c>
      <c r="W77" s="400">
        <v>35</v>
      </c>
      <c r="Y77" s="401" t="s">
        <v>281</v>
      </c>
    </row>
    <row r="78" spans="14:25" ht="15" customHeight="1" hidden="1">
      <c r="N78" s="392"/>
      <c r="O78" s="392" t="s">
        <v>349</v>
      </c>
      <c r="P78" s="393" t="s">
        <v>261</v>
      </c>
      <c r="R78" s="398">
        <v>8</v>
      </c>
      <c r="S78" s="398" t="s">
        <v>262</v>
      </c>
      <c r="T78" s="398" t="s">
        <v>276</v>
      </c>
      <c r="U78" s="399">
        <v>10</v>
      </c>
      <c r="V78" s="400">
        <v>45</v>
      </c>
      <c r="W78" s="400">
        <v>35</v>
      </c>
      <c r="Y78" s="401" t="s">
        <v>282</v>
      </c>
    </row>
    <row r="79" spans="14:25" ht="15" customHeight="1" hidden="1">
      <c r="N79" s="397"/>
      <c r="O79" s="397" t="s">
        <v>350</v>
      </c>
      <c r="P79" s="397" t="s">
        <v>261</v>
      </c>
      <c r="R79" s="398">
        <v>9</v>
      </c>
      <c r="S79" s="398" t="s">
        <v>270</v>
      </c>
      <c r="T79" s="398" t="s">
        <v>276</v>
      </c>
      <c r="U79" s="399">
        <v>10</v>
      </c>
      <c r="V79" s="400">
        <v>45</v>
      </c>
      <c r="W79" s="400">
        <v>35</v>
      </c>
      <c r="Y79" s="401" t="s">
        <v>283</v>
      </c>
    </row>
    <row r="80" spans="14:25" ht="15" customHeight="1" hidden="1">
      <c r="N80" s="397"/>
      <c r="O80" s="397" t="s">
        <v>351</v>
      </c>
      <c r="P80" s="397" t="s">
        <v>262</v>
      </c>
      <c r="R80" s="398">
        <v>10</v>
      </c>
      <c r="S80" s="398" t="s">
        <v>261</v>
      </c>
      <c r="T80" s="398" t="s">
        <v>276</v>
      </c>
      <c r="U80" s="399">
        <v>10</v>
      </c>
      <c r="V80" s="400">
        <v>45</v>
      </c>
      <c r="W80" s="400">
        <v>35</v>
      </c>
      <c r="Y80" s="401" t="s">
        <v>284</v>
      </c>
    </row>
    <row r="81" spans="14:25" ht="15" customHeight="1" hidden="1">
      <c r="N81" s="397"/>
      <c r="O81" s="397" t="s">
        <v>352</v>
      </c>
      <c r="P81" s="397" t="s">
        <v>256</v>
      </c>
      <c r="R81" s="398">
        <v>11</v>
      </c>
      <c r="S81" s="398" t="s">
        <v>268</v>
      </c>
      <c r="T81" s="398" t="s">
        <v>276</v>
      </c>
      <c r="U81" s="399">
        <v>10</v>
      </c>
      <c r="V81" s="400">
        <v>45</v>
      </c>
      <c r="W81" s="400">
        <v>35</v>
      </c>
      <c r="Y81" s="401" t="s">
        <v>285</v>
      </c>
    </row>
    <row r="82" spans="14:25" ht="15" customHeight="1" hidden="1">
      <c r="N82" s="393"/>
      <c r="O82" s="393" t="s">
        <v>353</v>
      </c>
      <c r="P82" s="393" t="s">
        <v>263</v>
      </c>
      <c r="R82" s="398">
        <v>12</v>
      </c>
      <c r="S82" s="398" t="s">
        <v>269</v>
      </c>
      <c r="T82" s="398" t="s">
        <v>276</v>
      </c>
      <c r="U82" s="399">
        <v>10</v>
      </c>
      <c r="V82" s="400">
        <v>45</v>
      </c>
      <c r="W82" s="400">
        <v>35</v>
      </c>
      <c r="Y82" s="401" t="s">
        <v>286</v>
      </c>
    </row>
    <row r="83" spans="14:25" ht="15" customHeight="1" hidden="1">
      <c r="N83" s="393"/>
      <c r="O83" s="393" t="s">
        <v>354</v>
      </c>
      <c r="P83" s="393" t="s">
        <v>264</v>
      </c>
      <c r="R83" s="398">
        <v>13</v>
      </c>
      <c r="S83" s="398" t="s">
        <v>263</v>
      </c>
      <c r="T83" s="398" t="s">
        <v>276</v>
      </c>
      <c r="U83" s="399">
        <v>10</v>
      </c>
      <c r="V83" s="400">
        <v>45</v>
      </c>
      <c r="W83" s="400">
        <v>35</v>
      </c>
      <c r="Y83" s="401" t="s">
        <v>287</v>
      </c>
    </row>
    <row r="84" spans="14:25" ht="15" customHeight="1" hidden="1">
      <c r="N84" s="393"/>
      <c r="O84" s="393" t="s">
        <v>355</v>
      </c>
      <c r="P84" s="393" t="s">
        <v>265</v>
      </c>
      <c r="R84" s="398">
        <v>14</v>
      </c>
      <c r="S84" s="398" t="s">
        <v>264</v>
      </c>
      <c r="T84" s="398" t="s">
        <v>276</v>
      </c>
      <c r="U84" s="399">
        <v>10</v>
      </c>
      <c r="V84" s="400">
        <v>45</v>
      </c>
      <c r="W84" s="400">
        <v>35</v>
      </c>
      <c r="Y84" s="401" t="s">
        <v>288</v>
      </c>
    </row>
    <row r="85" spans="14:25" ht="15" customHeight="1" hidden="1">
      <c r="N85" s="393"/>
      <c r="O85" s="393" t="s">
        <v>356</v>
      </c>
      <c r="P85" s="393" t="s">
        <v>266</v>
      </c>
      <c r="R85" s="398">
        <v>15</v>
      </c>
      <c r="S85" s="398" t="s">
        <v>254</v>
      </c>
      <c r="T85" s="398" t="s">
        <v>276</v>
      </c>
      <c r="U85" s="399">
        <v>10</v>
      </c>
      <c r="V85" s="400">
        <v>45</v>
      </c>
      <c r="W85" s="400">
        <v>35</v>
      </c>
      <c r="Y85" s="401" t="s">
        <v>289</v>
      </c>
    </row>
    <row r="86" spans="14:25" ht="15" customHeight="1" hidden="1">
      <c r="N86" s="397"/>
      <c r="O86" s="397" t="s">
        <v>357</v>
      </c>
      <c r="P86" s="397" t="s">
        <v>255</v>
      </c>
      <c r="R86" s="398">
        <v>16</v>
      </c>
      <c r="S86" s="398" t="s">
        <v>259</v>
      </c>
      <c r="T86" s="398" t="s">
        <v>276</v>
      </c>
      <c r="U86" s="399">
        <v>10</v>
      </c>
      <c r="V86" s="400">
        <v>45</v>
      </c>
      <c r="W86" s="400">
        <v>35</v>
      </c>
      <c r="Y86" s="401" t="s">
        <v>290</v>
      </c>
    </row>
    <row r="87" spans="14:25" ht="15" customHeight="1" hidden="1">
      <c r="N87" s="397"/>
      <c r="O87" s="397" t="s">
        <v>358</v>
      </c>
      <c r="P87" s="397" t="s">
        <v>255</v>
      </c>
      <c r="R87" s="398">
        <v>17</v>
      </c>
      <c r="S87" s="398" t="s">
        <v>266</v>
      </c>
      <c r="T87" s="398" t="s">
        <v>276</v>
      </c>
      <c r="U87" s="399">
        <v>10</v>
      </c>
      <c r="V87" s="400">
        <v>45</v>
      </c>
      <c r="W87" s="400">
        <v>35</v>
      </c>
      <c r="Y87" s="401" t="s">
        <v>291</v>
      </c>
    </row>
    <row r="88" spans="14:25" ht="15" customHeight="1" hidden="1">
      <c r="N88" s="397"/>
      <c r="O88" s="397" t="s">
        <v>359</v>
      </c>
      <c r="P88" s="397" t="s">
        <v>255</v>
      </c>
      <c r="R88" s="398">
        <v>18</v>
      </c>
      <c r="S88" s="398" t="s">
        <v>260</v>
      </c>
      <c r="T88" s="398" t="s">
        <v>276</v>
      </c>
      <c r="U88" s="399">
        <v>10</v>
      </c>
      <c r="V88" s="400">
        <v>45</v>
      </c>
      <c r="W88" s="400">
        <v>35</v>
      </c>
      <c r="Y88" s="401" t="s">
        <v>292</v>
      </c>
    </row>
    <row r="89" spans="14:25" ht="15" customHeight="1" hidden="1">
      <c r="N89" s="393"/>
      <c r="O89" s="393" t="s">
        <v>360</v>
      </c>
      <c r="P89" s="393" t="s">
        <v>259</v>
      </c>
      <c r="R89" s="398">
        <v>19</v>
      </c>
      <c r="S89" s="398" t="s">
        <v>258</v>
      </c>
      <c r="T89" s="398" t="s">
        <v>277</v>
      </c>
      <c r="U89" s="399">
        <v>10</v>
      </c>
      <c r="V89" s="400">
        <v>35</v>
      </c>
      <c r="W89" s="400">
        <v>30</v>
      </c>
      <c r="Y89" s="401" t="s">
        <v>293</v>
      </c>
    </row>
    <row r="90" spans="14:25" ht="15" customHeight="1" hidden="1">
      <c r="N90" s="397"/>
      <c r="O90" s="397" t="s">
        <v>361</v>
      </c>
      <c r="P90" s="397" t="s">
        <v>255</v>
      </c>
      <c r="R90" s="398">
        <v>20</v>
      </c>
      <c r="S90" s="398" t="s">
        <v>267</v>
      </c>
      <c r="T90" s="398" t="s">
        <v>277</v>
      </c>
      <c r="U90" s="399">
        <v>10</v>
      </c>
      <c r="V90" s="400">
        <v>35</v>
      </c>
      <c r="W90" s="400">
        <v>30</v>
      </c>
      <c r="Y90" s="401" t="s">
        <v>294</v>
      </c>
    </row>
    <row r="91" spans="14:25" ht="15" customHeight="1" hidden="1">
      <c r="N91" s="397"/>
      <c r="O91" s="397" t="s">
        <v>362</v>
      </c>
      <c r="P91" s="393" t="s">
        <v>267</v>
      </c>
      <c r="R91" s="398">
        <v>21</v>
      </c>
      <c r="S91" s="398" t="s">
        <v>271</v>
      </c>
      <c r="T91" s="398" t="s">
        <v>277</v>
      </c>
      <c r="U91" s="399">
        <v>20</v>
      </c>
      <c r="V91" s="400">
        <v>35</v>
      </c>
      <c r="W91" s="400">
        <v>30</v>
      </c>
      <c r="Y91" s="401" t="s">
        <v>295</v>
      </c>
    </row>
    <row r="92" spans="14:25" ht="15" customHeight="1" hidden="1">
      <c r="N92" s="392"/>
      <c r="O92" s="392" t="s">
        <v>363</v>
      </c>
      <c r="P92" s="393" t="s">
        <v>257</v>
      </c>
      <c r="R92" s="398">
        <v>22</v>
      </c>
      <c r="S92" s="398" t="s">
        <v>256</v>
      </c>
      <c r="T92" s="398" t="s">
        <v>277</v>
      </c>
      <c r="U92" s="399">
        <v>10</v>
      </c>
      <c r="V92" s="400">
        <v>35</v>
      </c>
      <c r="W92" s="400">
        <v>30</v>
      </c>
      <c r="Y92" s="401" t="s">
        <v>296</v>
      </c>
    </row>
    <row r="93" spans="14:25" ht="15" customHeight="1" hidden="1">
      <c r="N93" s="393"/>
      <c r="O93" s="393" t="s">
        <v>364</v>
      </c>
      <c r="P93" s="393" t="s">
        <v>262</v>
      </c>
      <c r="R93" s="398">
        <v>23</v>
      </c>
      <c r="S93" s="398" t="s">
        <v>255</v>
      </c>
      <c r="T93" s="398" t="s">
        <v>277</v>
      </c>
      <c r="U93" s="399">
        <v>10</v>
      </c>
      <c r="V93" s="400">
        <v>35</v>
      </c>
      <c r="W93" s="400">
        <v>30</v>
      </c>
      <c r="Y93" s="401" t="s">
        <v>297</v>
      </c>
    </row>
    <row r="94" spans="14:25" ht="15" customHeight="1" hidden="1">
      <c r="N94" s="393"/>
      <c r="O94" s="393" t="s">
        <v>365</v>
      </c>
      <c r="P94" s="393" t="s">
        <v>268</v>
      </c>
      <c r="R94" s="398">
        <v>24</v>
      </c>
      <c r="S94" s="398" t="s">
        <v>265</v>
      </c>
      <c r="T94" s="398" t="s">
        <v>277</v>
      </c>
      <c r="U94" s="399">
        <v>10</v>
      </c>
      <c r="V94" s="400">
        <v>35</v>
      </c>
      <c r="W94" s="400">
        <v>30</v>
      </c>
      <c r="Y94" s="401" t="s">
        <v>298</v>
      </c>
    </row>
    <row r="95" spans="14:25" ht="15" customHeight="1" hidden="1">
      <c r="N95" s="393"/>
      <c r="O95" s="393" t="s">
        <v>366</v>
      </c>
      <c r="P95" s="393" t="s">
        <v>269</v>
      </c>
      <c r="R95" s="398">
        <v>25</v>
      </c>
      <c r="S95" s="398" t="s">
        <v>257</v>
      </c>
      <c r="T95" s="398" t="s">
        <v>277</v>
      </c>
      <c r="U95" s="399">
        <v>10</v>
      </c>
      <c r="V95" s="400">
        <v>35</v>
      </c>
      <c r="W95" s="400">
        <v>30</v>
      </c>
      <c r="Y95" s="401" t="s">
        <v>301</v>
      </c>
    </row>
    <row r="96" spans="14:25" ht="15" customHeight="1" hidden="1">
      <c r="N96" s="397"/>
      <c r="O96" s="397" t="s">
        <v>367</v>
      </c>
      <c r="P96" s="397" t="s">
        <v>254</v>
      </c>
      <c r="R96" s="398">
        <v>26</v>
      </c>
      <c r="S96" s="398" t="s">
        <v>262</v>
      </c>
      <c r="T96" s="398" t="s">
        <v>277</v>
      </c>
      <c r="U96" s="399">
        <v>10</v>
      </c>
      <c r="V96" s="400">
        <v>35</v>
      </c>
      <c r="W96" s="400">
        <v>30</v>
      </c>
      <c r="Y96" s="403" t="s">
        <v>307</v>
      </c>
    </row>
    <row r="97" spans="14:25" ht="15" customHeight="1" hidden="1">
      <c r="N97" s="397"/>
      <c r="O97" s="397" t="s">
        <v>368</v>
      </c>
      <c r="P97" s="397" t="s">
        <v>255</v>
      </c>
      <c r="R97" s="398">
        <v>27</v>
      </c>
      <c r="S97" s="398" t="s">
        <v>270</v>
      </c>
      <c r="T97" s="398" t="s">
        <v>277</v>
      </c>
      <c r="U97" s="399">
        <v>10</v>
      </c>
      <c r="V97" s="400">
        <v>35</v>
      </c>
      <c r="W97" s="400">
        <v>30</v>
      </c>
      <c r="Y97" s="401" t="s">
        <v>299</v>
      </c>
    </row>
    <row r="98" spans="14:25" ht="15" customHeight="1" hidden="1">
      <c r="N98" s="393"/>
      <c r="O98" s="393" t="s">
        <v>369</v>
      </c>
      <c r="P98" s="393" t="s">
        <v>270</v>
      </c>
      <c r="R98" s="398">
        <v>28</v>
      </c>
      <c r="S98" s="398" t="s">
        <v>261</v>
      </c>
      <c r="T98" s="398" t="s">
        <v>277</v>
      </c>
      <c r="U98" s="399">
        <v>10</v>
      </c>
      <c r="V98" s="400">
        <v>35</v>
      </c>
      <c r="W98" s="400">
        <v>30</v>
      </c>
      <c r="Y98" s="401" t="s">
        <v>300</v>
      </c>
    </row>
    <row r="99" spans="14:23" ht="15" customHeight="1" hidden="1">
      <c r="N99" s="397"/>
      <c r="O99" s="397" t="s">
        <v>370</v>
      </c>
      <c r="P99" s="397" t="s">
        <v>267</v>
      </c>
      <c r="R99" s="398">
        <v>29</v>
      </c>
      <c r="S99" s="398" t="s">
        <v>268</v>
      </c>
      <c r="T99" s="398" t="s">
        <v>277</v>
      </c>
      <c r="U99" s="399">
        <v>10</v>
      </c>
      <c r="V99" s="400">
        <v>35</v>
      </c>
      <c r="W99" s="400">
        <v>30</v>
      </c>
    </row>
    <row r="100" spans="14:23" ht="15" customHeight="1" hidden="1">
      <c r="N100" s="393"/>
      <c r="O100" s="393" t="s">
        <v>371</v>
      </c>
      <c r="P100" s="393" t="s">
        <v>271</v>
      </c>
      <c r="R100" s="398">
        <v>30</v>
      </c>
      <c r="S100" s="398" t="s">
        <v>269</v>
      </c>
      <c r="T100" s="398" t="s">
        <v>277</v>
      </c>
      <c r="U100" s="399">
        <v>20</v>
      </c>
      <c r="V100" s="400">
        <v>35</v>
      </c>
      <c r="W100" s="400">
        <v>30</v>
      </c>
    </row>
    <row r="101" spans="18:23" ht="15" customHeight="1" hidden="1">
      <c r="R101" s="398">
        <v>31</v>
      </c>
      <c r="S101" s="398" t="s">
        <v>263</v>
      </c>
      <c r="T101" s="398" t="s">
        <v>277</v>
      </c>
      <c r="U101" s="399">
        <v>10</v>
      </c>
      <c r="V101" s="400">
        <v>35</v>
      </c>
      <c r="W101" s="400">
        <v>30</v>
      </c>
    </row>
    <row r="102" spans="18:23" ht="15" customHeight="1" hidden="1">
      <c r="R102" s="398">
        <v>32</v>
      </c>
      <c r="S102" s="398" t="s">
        <v>264</v>
      </c>
      <c r="T102" s="398" t="s">
        <v>277</v>
      </c>
      <c r="U102" s="399">
        <v>10</v>
      </c>
      <c r="V102" s="400">
        <v>35</v>
      </c>
      <c r="W102" s="400">
        <v>30</v>
      </c>
    </row>
    <row r="103" spans="18:23" ht="15" customHeight="1" hidden="1">
      <c r="R103" s="398">
        <v>33</v>
      </c>
      <c r="S103" s="398" t="s">
        <v>254</v>
      </c>
      <c r="T103" s="398" t="s">
        <v>277</v>
      </c>
      <c r="U103" s="399">
        <v>10</v>
      </c>
      <c r="V103" s="400">
        <v>35</v>
      </c>
      <c r="W103" s="400">
        <v>30</v>
      </c>
    </row>
    <row r="104" spans="18:23" ht="15" customHeight="1" hidden="1">
      <c r="R104" s="398">
        <v>34</v>
      </c>
      <c r="S104" s="398" t="s">
        <v>259</v>
      </c>
      <c r="T104" s="398" t="s">
        <v>277</v>
      </c>
      <c r="U104" s="399">
        <v>10</v>
      </c>
      <c r="V104" s="400">
        <v>35</v>
      </c>
      <c r="W104" s="400">
        <v>30</v>
      </c>
    </row>
    <row r="105" spans="18:23" ht="15" customHeight="1" hidden="1">
      <c r="R105" s="398">
        <v>35</v>
      </c>
      <c r="S105" s="398" t="s">
        <v>266</v>
      </c>
      <c r="T105" s="398" t="s">
        <v>277</v>
      </c>
      <c r="U105" s="399">
        <v>10</v>
      </c>
      <c r="V105" s="400">
        <v>35</v>
      </c>
      <c r="W105" s="400">
        <v>30</v>
      </c>
    </row>
    <row r="106" spans="18:23" ht="15" customHeight="1" hidden="1">
      <c r="R106" s="398">
        <v>36</v>
      </c>
      <c r="S106" s="398" t="s">
        <v>260</v>
      </c>
      <c r="T106" s="398" t="s">
        <v>277</v>
      </c>
      <c r="U106" s="399">
        <v>10</v>
      </c>
      <c r="V106" s="400">
        <v>35</v>
      </c>
      <c r="W106" s="400">
        <v>30</v>
      </c>
    </row>
    <row r="107" spans="18:23" ht="15" customHeight="1" hidden="1">
      <c r="R107" s="398">
        <v>37</v>
      </c>
      <c r="S107" s="398" t="s">
        <v>258</v>
      </c>
      <c r="T107" s="398" t="s">
        <v>278</v>
      </c>
      <c r="U107" s="399">
        <v>10</v>
      </c>
      <c r="V107" s="400">
        <v>20</v>
      </c>
      <c r="W107" s="400">
        <v>20</v>
      </c>
    </row>
    <row r="108" spans="18:23" ht="15" customHeight="1" hidden="1">
      <c r="R108" s="398">
        <v>38</v>
      </c>
      <c r="S108" s="398" t="s">
        <v>267</v>
      </c>
      <c r="T108" s="398" t="s">
        <v>278</v>
      </c>
      <c r="U108" s="399">
        <v>10</v>
      </c>
      <c r="V108" s="400">
        <v>20</v>
      </c>
      <c r="W108" s="400">
        <v>20</v>
      </c>
    </row>
    <row r="109" spans="18:23" ht="15" customHeight="1" hidden="1">
      <c r="R109" s="398">
        <v>39</v>
      </c>
      <c r="S109" s="398" t="s">
        <v>271</v>
      </c>
      <c r="T109" s="398" t="s">
        <v>278</v>
      </c>
      <c r="U109" s="399">
        <v>10</v>
      </c>
      <c r="V109" s="400">
        <v>25</v>
      </c>
      <c r="W109" s="400">
        <v>25</v>
      </c>
    </row>
    <row r="110" spans="18:23" ht="15" customHeight="1" hidden="1">
      <c r="R110" s="398">
        <v>40</v>
      </c>
      <c r="S110" s="398" t="s">
        <v>256</v>
      </c>
      <c r="T110" s="398" t="s">
        <v>278</v>
      </c>
      <c r="U110" s="399">
        <v>10</v>
      </c>
      <c r="V110" s="400">
        <v>25</v>
      </c>
      <c r="W110" s="400">
        <v>25</v>
      </c>
    </row>
    <row r="111" spans="18:23" ht="15" customHeight="1" hidden="1">
      <c r="R111" s="398">
        <v>41</v>
      </c>
      <c r="S111" s="398" t="s">
        <v>255</v>
      </c>
      <c r="T111" s="398" t="s">
        <v>278</v>
      </c>
      <c r="U111" s="399">
        <v>10</v>
      </c>
      <c r="V111" s="400">
        <v>25</v>
      </c>
      <c r="W111" s="400">
        <v>25</v>
      </c>
    </row>
    <row r="112" spans="18:23" ht="15" customHeight="1" hidden="1">
      <c r="R112" s="398">
        <v>42</v>
      </c>
      <c r="S112" s="398" t="s">
        <v>265</v>
      </c>
      <c r="T112" s="398" t="s">
        <v>278</v>
      </c>
      <c r="U112" s="399">
        <v>10</v>
      </c>
      <c r="V112" s="400">
        <v>25</v>
      </c>
      <c r="W112" s="400">
        <v>25</v>
      </c>
    </row>
    <row r="113" spans="18:23" ht="15" customHeight="1" hidden="1">
      <c r="R113" s="398">
        <v>43</v>
      </c>
      <c r="S113" s="398" t="s">
        <v>257</v>
      </c>
      <c r="T113" s="398" t="s">
        <v>278</v>
      </c>
      <c r="U113" s="399">
        <v>10</v>
      </c>
      <c r="V113" s="400">
        <v>25</v>
      </c>
      <c r="W113" s="400">
        <v>25</v>
      </c>
    </row>
    <row r="114" spans="18:23" ht="15" customHeight="1" hidden="1">
      <c r="R114" s="398">
        <v>44</v>
      </c>
      <c r="S114" s="398" t="s">
        <v>262</v>
      </c>
      <c r="T114" s="398" t="s">
        <v>278</v>
      </c>
      <c r="U114" s="399">
        <v>10</v>
      </c>
      <c r="V114" s="400">
        <v>20</v>
      </c>
      <c r="W114" s="400">
        <v>20</v>
      </c>
    </row>
    <row r="115" spans="18:23" ht="15" customHeight="1" hidden="1">
      <c r="R115" s="398">
        <v>45</v>
      </c>
      <c r="S115" s="398" t="s">
        <v>270</v>
      </c>
      <c r="T115" s="398" t="s">
        <v>278</v>
      </c>
      <c r="U115" s="399">
        <v>10</v>
      </c>
      <c r="V115" s="400">
        <v>20</v>
      </c>
      <c r="W115" s="400">
        <v>20</v>
      </c>
    </row>
    <row r="116" spans="18:23" ht="15" customHeight="1" hidden="1">
      <c r="R116" s="398">
        <v>46</v>
      </c>
      <c r="S116" s="398" t="s">
        <v>261</v>
      </c>
      <c r="T116" s="398" t="s">
        <v>278</v>
      </c>
      <c r="U116" s="399">
        <v>10</v>
      </c>
      <c r="V116" s="400">
        <v>20</v>
      </c>
      <c r="W116" s="400">
        <v>20</v>
      </c>
    </row>
    <row r="117" spans="18:23" ht="15" customHeight="1" hidden="1">
      <c r="R117" s="398">
        <v>47</v>
      </c>
      <c r="S117" s="398" t="s">
        <v>268</v>
      </c>
      <c r="T117" s="398" t="s">
        <v>278</v>
      </c>
      <c r="U117" s="399">
        <v>10</v>
      </c>
      <c r="V117" s="400">
        <v>20</v>
      </c>
      <c r="W117" s="400">
        <v>25</v>
      </c>
    </row>
    <row r="118" spans="18:23" ht="15" customHeight="1" hidden="1">
      <c r="R118" s="398">
        <v>48</v>
      </c>
      <c r="S118" s="398" t="s">
        <v>269</v>
      </c>
      <c r="T118" s="398" t="s">
        <v>278</v>
      </c>
      <c r="U118" s="399">
        <v>10</v>
      </c>
      <c r="V118" s="400">
        <v>25</v>
      </c>
      <c r="W118" s="400">
        <v>25</v>
      </c>
    </row>
    <row r="119" spans="18:23" ht="15" customHeight="1" hidden="1">
      <c r="R119" s="398">
        <v>49</v>
      </c>
      <c r="S119" s="398" t="s">
        <v>263</v>
      </c>
      <c r="T119" s="398" t="s">
        <v>278</v>
      </c>
      <c r="U119" s="399">
        <v>10</v>
      </c>
      <c r="V119" s="400">
        <v>25</v>
      </c>
      <c r="W119" s="400">
        <v>25</v>
      </c>
    </row>
    <row r="120" spans="18:23" ht="15" customHeight="1" hidden="1">
      <c r="R120" s="398">
        <v>50</v>
      </c>
      <c r="S120" s="398" t="s">
        <v>264</v>
      </c>
      <c r="T120" s="398" t="s">
        <v>278</v>
      </c>
      <c r="U120" s="399">
        <v>10</v>
      </c>
      <c r="V120" s="400">
        <v>25</v>
      </c>
      <c r="W120" s="400">
        <v>25</v>
      </c>
    </row>
    <row r="121" spans="18:23" ht="15" customHeight="1" hidden="1">
      <c r="R121" s="398">
        <v>51</v>
      </c>
      <c r="S121" s="398" t="s">
        <v>254</v>
      </c>
      <c r="T121" s="398" t="s">
        <v>278</v>
      </c>
      <c r="U121" s="399">
        <v>10</v>
      </c>
      <c r="V121" s="400">
        <v>25</v>
      </c>
      <c r="W121" s="400">
        <v>25</v>
      </c>
    </row>
    <row r="122" spans="18:23" ht="15" customHeight="1" hidden="1">
      <c r="R122" s="398">
        <v>52</v>
      </c>
      <c r="S122" s="398" t="s">
        <v>259</v>
      </c>
      <c r="T122" s="398" t="s">
        <v>278</v>
      </c>
      <c r="U122" s="399">
        <v>10</v>
      </c>
      <c r="V122" s="400">
        <v>25</v>
      </c>
      <c r="W122" s="400">
        <v>25</v>
      </c>
    </row>
    <row r="123" spans="18:23" ht="15" customHeight="1" hidden="1">
      <c r="R123" s="398">
        <v>53</v>
      </c>
      <c r="S123" s="398" t="s">
        <v>266</v>
      </c>
      <c r="T123" s="398" t="s">
        <v>278</v>
      </c>
      <c r="U123" s="399">
        <v>10</v>
      </c>
      <c r="V123" s="400">
        <v>25</v>
      </c>
      <c r="W123" s="400">
        <v>25</v>
      </c>
    </row>
    <row r="124" spans="18:23" ht="15" customHeight="1" hidden="1">
      <c r="R124" s="398">
        <v>54</v>
      </c>
      <c r="S124" s="398" t="s">
        <v>260</v>
      </c>
      <c r="T124" s="398" t="s">
        <v>278</v>
      </c>
      <c r="U124" s="399">
        <v>10</v>
      </c>
      <c r="V124" s="400">
        <v>25</v>
      </c>
      <c r="W124" s="400">
        <v>25</v>
      </c>
    </row>
    <row r="125" spans="18:23" ht="15" customHeight="1" hidden="1">
      <c r="R125" s="398">
        <v>55</v>
      </c>
      <c r="S125" s="398" t="s">
        <v>258</v>
      </c>
      <c r="T125" s="398" t="s">
        <v>279</v>
      </c>
      <c r="U125" s="400">
        <v>30</v>
      </c>
      <c r="V125" s="400">
        <v>50</v>
      </c>
      <c r="W125" s="400">
        <v>45</v>
      </c>
    </row>
    <row r="126" spans="18:23" ht="15" customHeight="1" hidden="1">
      <c r="R126" s="398">
        <v>56</v>
      </c>
      <c r="S126" s="398" t="s">
        <v>267</v>
      </c>
      <c r="T126" s="398" t="s">
        <v>279</v>
      </c>
      <c r="U126" s="400">
        <v>30</v>
      </c>
      <c r="V126" s="400">
        <v>50</v>
      </c>
      <c r="W126" s="400">
        <v>45</v>
      </c>
    </row>
    <row r="127" spans="18:23" ht="15" customHeight="1" hidden="1">
      <c r="R127" s="398">
        <v>57</v>
      </c>
      <c r="S127" s="398" t="s">
        <v>271</v>
      </c>
      <c r="T127" s="398" t="s">
        <v>279</v>
      </c>
      <c r="U127" s="400">
        <v>30</v>
      </c>
      <c r="V127" s="400">
        <v>50</v>
      </c>
      <c r="W127" s="400">
        <v>45</v>
      </c>
    </row>
    <row r="128" spans="18:23" ht="15" customHeight="1" hidden="1">
      <c r="R128" s="398">
        <v>58</v>
      </c>
      <c r="S128" s="398" t="s">
        <v>256</v>
      </c>
      <c r="T128" s="398" t="s">
        <v>279</v>
      </c>
      <c r="U128" s="400">
        <v>30</v>
      </c>
      <c r="V128" s="400">
        <v>50</v>
      </c>
      <c r="W128" s="400">
        <v>45</v>
      </c>
    </row>
    <row r="129" spans="18:23" ht="15" customHeight="1" hidden="1">
      <c r="R129" s="398">
        <v>59</v>
      </c>
      <c r="S129" s="398" t="s">
        <v>255</v>
      </c>
      <c r="T129" s="398" t="s">
        <v>279</v>
      </c>
      <c r="U129" s="400">
        <v>30</v>
      </c>
      <c r="V129" s="400">
        <v>50</v>
      </c>
      <c r="W129" s="400">
        <v>45</v>
      </c>
    </row>
    <row r="130" spans="18:23" ht="15" customHeight="1" hidden="1">
      <c r="R130" s="398">
        <v>60</v>
      </c>
      <c r="S130" s="398" t="s">
        <v>265</v>
      </c>
      <c r="T130" s="398" t="s">
        <v>279</v>
      </c>
      <c r="U130" s="400">
        <v>30</v>
      </c>
      <c r="V130" s="400">
        <v>50</v>
      </c>
      <c r="W130" s="400">
        <v>45</v>
      </c>
    </row>
    <row r="131" spans="18:23" ht="15" customHeight="1" hidden="1">
      <c r="R131" s="398">
        <v>61</v>
      </c>
      <c r="S131" s="398" t="s">
        <v>257</v>
      </c>
      <c r="T131" s="398" t="s">
        <v>279</v>
      </c>
      <c r="U131" s="400">
        <v>30</v>
      </c>
      <c r="V131" s="400">
        <v>50</v>
      </c>
      <c r="W131" s="400">
        <v>45</v>
      </c>
    </row>
    <row r="132" spans="18:23" ht="15" customHeight="1" hidden="1">
      <c r="R132" s="398">
        <v>62</v>
      </c>
      <c r="S132" s="398" t="s">
        <v>262</v>
      </c>
      <c r="T132" s="398" t="s">
        <v>279</v>
      </c>
      <c r="U132" s="400">
        <v>30</v>
      </c>
      <c r="V132" s="400">
        <v>50</v>
      </c>
      <c r="W132" s="400">
        <v>45</v>
      </c>
    </row>
    <row r="133" spans="18:23" ht="15" customHeight="1" hidden="1">
      <c r="R133" s="398">
        <v>63</v>
      </c>
      <c r="S133" s="398" t="s">
        <v>270</v>
      </c>
      <c r="T133" s="398" t="s">
        <v>279</v>
      </c>
      <c r="U133" s="400">
        <v>30</v>
      </c>
      <c r="V133" s="400">
        <v>50</v>
      </c>
      <c r="W133" s="400">
        <v>45</v>
      </c>
    </row>
    <row r="134" spans="18:23" ht="15" customHeight="1" hidden="1">
      <c r="R134" s="398">
        <v>64</v>
      </c>
      <c r="S134" s="398" t="s">
        <v>261</v>
      </c>
      <c r="T134" s="398" t="s">
        <v>279</v>
      </c>
      <c r="U134" s="400">
        <v>30</v>
      </c>
      <c r="V134" s="400">
        <v>50</v>
      </c>
      <c r="W134" s="400">
        <v>45</v>
      </c>
    </row>
    <row r="135" spans="18:23" ht="15" customHeight="1" hidden="1">
      <c r="R135" s="398">
        <v>65</v>
      </c>
      <c r="S135" s="398" t="s">
        <v>268</v>
      </c>
      <c r="T135" s="398" t="s">
        <v>279</v>
      </c>
      <c r="U135" s="400">
        <v>30</v>
      </c>
      <c r="V135" s="400">
        <v>50</v>
      </c>
      <c r="W135" s="400">
        <v>45</v>
      </c>
    </row>
    <row r="136" spans="18:23" ht="15" customHeight="1" hidden="1">
      <c r="R136" s="398">
        <v>66</v>
      </c>
      <c r="S136" s="398" t="s">
        <v>269</v>
      </c>
      <c r="T136" s="398" t="s">
        <v>279</v>
      </c>
      <c r="U136" s="400">
        <v>30</v>
      </c>
      <c r="V136" s="400">
        <v>50</v>
      </c>
      <c r="W136" s="400">
        <v>45</v>
      </c>
    </row>
    <row r="137" spans="18:23" ht="15" customHeight="1" hidden="1">
      <c r="R137" s="398">
        <v>67</v>
      </c>
      <c r="S137" s="398" t="s">
        <v>263</v>
      </c>
      <c r="T137" s="398" t="s">
        <v>279</v>
      </c>
      <c r="U137" s="400">
        <v>30</v>
      </c>
      <c r="V137" s="400">
        <v>50</v>
      </c>
      <c r="W137" s="400">
        <v>45</v>
      </c>
    </row>
    <row r="138" spans="18:23" ht="15" customHeight="1" hidden="1">
      <c r="R138" s="398">
        <v>68</v>
      </c>
      <c r="S138" s="398" t="s">
        <v>264</v>
      </c>
      <c r="T138" s="398" t="s">
        <v>279</v>
      </c>
      <c r="U138" s="400">
        <v>30</v>
      </c>
      <c r="V138" s="400">
        <v>50</v>
      </c>
      <c r="W138" s="400">
        <v>45</v>
      </c>
    </row>
    <row r="139" spans="18:23" ht="15" customHeight="1" hidden="1">
      <c r="R139" s="398">
        <v>69</v>
      </c>
      <c r="S139" s="398" t="s">
        <v>254</v>
      </c>
      <c r="T139" s="398" t="s">
        <v>279</v>
      </c>
      <c r="U139" s="400">
        <v>30</v>
      </c>
      <c r="V139" s="400">
        <v>50</v>
      </c>
      <c r="W139" s="400">
        <v>45</v>
      </c>
    </row>
    <row r="140" spans="18:23" ht="15" customHeight="1" hidden="1">
      <c r="R140" s="398">
        <v>70</v>
      </c>
      <c r="S140" s="398" t="s">
        <v>259</v>
      </c>
      <c r="T140" s="398" t="s">
        <v>279</v>
      </c>
      <c r="U140" s="400">
        <v>30</v>
      </c>
      <c r="V140" s="400">
        <v>50</v>
      </c>
      <c r="W140" s="400">
        <v>45</v>
      </c>
    </row>
    <row r="141" spans="18:23" ht="15" customHeight="1" hidden="1">
      <c r="R141" s="398">
        <v>71</v>
      </c>
      <c r="S141" s="398" t="s">
        <v>266</v>
      </c>
      <c r="T141" s="398" t="s">
        <v>279</v>
      </c>
      <c r="U141" s="400">
        <v>30</v>
      </c>
      <c r="V141" s="400">
        <v>50</v>
      </c>
      <c r="W141" s="400">
        <v>45</v>
      </c>
    </row>
    <row r="142" spans="18:23" ht="15" customHeight="1" hidden="1">
      <c r="R142" s="398">
        <v>72</v>
      </c>
      <c r="S142" s="398" t="s">
        <v>260</v>
      </c>
      <c r="T142" s="398" t="s">
        <v>279</v>
      </c>
      <c r="U142" s="400">
        <v>30</v>
      </c>
      <c r="V142" s="400">
        <v>50</v>
      </c>
      <c r="W142" s="400">
        <v>45</v>
      </c>
    </row>
    <row r="143" spans="18:23" ht="15" customHeight="1" hidden="1">
      <c r="R143" s="398">
        <v>73</v>
      </c>
      <c r="S143" s="398" t="s">
        <v>258</v>
      </c>
      <c r="T143" s="398" t="s">
        <v>280</v>
      </c>
      <c r="U143" s="400">
        <v>40</v>
      </c>
      <c r="V143" s="400">
        <v>50</v>
      </c>
      <c r="W143" s="400">
        <v>45</v>
      </c>
    </row>
    <row r="144" spans="18:23" ht="15" customHeight="1" hidden="1">
      <c r="R144" s="398">
        <v>74</v>
      </c>
      <c r="S144" s="398" t="s">
        <v>267</v>
      </c>
      <c r="T144" s="398" t="s">
        <v>280</v>
      </c>
      <c r="U144" s="400">
        <v>40</v>
      </c>
      <c r="V144" s="400">
        <v>50</v>
      </c>
      <c r="W144" s="400">
        <v>45</v>
      </c>
    </row>
    <row r="145" spans="18:23" ht="15" customHeight="1" hidden="1">
      <c r="R145" s="398">
        <v>75</v>
      </c>
      <c r="S145" s="398" t="s">
        <v>271</v>
      </c>
      <c r="T145" s="398" t="s">
        <v>280</v>
      </c>
      <c r="U145" s="400">
        <v>40</v>
      </c>
      <c r="V145" s="400">
        <v>50</v>
      </c>
      <c r="W145" s="400">
        <v>45</v>
      </c>
    </row>
    <row r="146" spans="18:23" ht="15" customHeight="1" hidden="1">
      <c r="R146" s="398">
        <v>76</v>
      </c>
      <c r="S146" s="398" t="s">
        <v>256</v>
      </c>
      <c r="T146" s="398" t="s">
        <v>280</v>
      </c>
      <c r="U146" s="400">
        <v>40</v>
      </c>
      <c r="V146" s="400">
        <v>50</v>
      </c>
      <c r="W146" s="400">
        <v>45</v>
      </c>
    </row>
    <row r="147" spans="18:23" ht="15" customHeight="1" hidden="1">
      <c r="R147" s="398">
        <v>77</v>
      </c>
      <c r="S147" s="398" t="s">
        <v>255</v>
      </c>
      <c r="T147" s="398" t="s">
        <v>280</v>
      </c>
      <c r="U147" s="400">
        <v>40</v>
      </c>
      <c r="V147" s="400">
        <v>50</v>
      </c>
      <c r="W147" s="400">
        <v>45</v>
      </c>
    </row>
    <row r="148" spans="18:23" ht="15" customHeight="1" hidden="1">
      <c r="R148" s="398">
        <v>78</v>
      </c>
      <c r="S148" s="398" t="s">
        <v>265</v>
      </c>
      <c r="T148" s="398" t="s">
        <v>280</v>
      </c>
      <c r="U148" s="400">
        <v>40</v>
      </c>
      <c r="V148" s="400">
        <v>50</v>
      </c>
      <c r="W148" s="400">
        <v>45</v>
      </c>
    </row>
    <row r="149" spans="18:23" ht="15" customHeight="1" hidden="1">
      <c r="R149" s="398">
        <v>79</v>
      </c>
      <c r="S149" s="398" t="s">
        <v>257</v>
      </c>
      <c r="T149" s="398" t="s">
        <v>280</v>
      </c>
      <c r="U149" s="400">
        <v>40</v>
      </c>
      <c r="V149" s="400">
        <v>50</v>
      </c>
      <c r="W149" s="400">
        <v>45</v>
      </c>
    </row>
    <row r="150" spans="18:23" ht="15" customHeight="1" hidden="1">
      <c r="R150" s="398">
        <v>80</v>
      </c>
      <c r="S150" s="398" t="s">
        <v>262</v>
      </c>
      <c r="T150" s="398" t="s">
        <v>280</v>
      </c>
      <c r="U150" s="400">
        <v>40</v>
      </c>
      <c r="V150" s="400">
        <v>50</v>
      </c>
      <c r="W150" s="400">
        <v>45</v>
      </c>
    </row>
    <row r="151" spans="18:23" ht="15" customHeight="1" hidden="1">
      <c r="R151" s="398">
        <v>81</v>
      </c>
      <c r="S151" s="398" t="s">
        <v>270</v>
      </c>
      <c r="T151" s="398" t="s">
        <v>280</v>
      </c>
      <c r="U151" s="400">
        <v>40</v>
      </c>
      <c r="V151" s="400">
        <v>50</v>
      </c>
      <c r="W151" s="400">
        <v>45</v>
      </c>
    </row>
    <row r="152" spans="18:23" ht="15" customHeight="1" hidden="1">
      <c r="R152" s="398">
        <v>82</v>
      </c>
      <c r="S152" s="398" t="s">
        <v>261</v>
      </c>
      <c r="T152" s="398" t="s">
        <v>280</v>
      </c>
      <c r="U152" s="400">
        <v>40</v>
      </c>
      <c r="V152" s="400">
        <v>50</v>
      </c>
      <c r="W152" s="400">
        <v>45</v>
      </c>
    </row>
    <row r="153" spans="18:23" ht="15" customHeight="1" hidden="1">
      <c r="R153" s="398">
        <v>83</v>
      </c>
      <c r="S153" s="398" t="s">
        <v>268</v>
      </c>
      <c r="T153" s="398" t="s">
        <v>280</v>
      </c>
      <c r="U153" s="400">
        <v>40</v>
      </c>
      <c r="V153" s="400">
        <v>50</v>
      </c>
      <c r="W153" s="400">
        <v>45</v>
      </c>
    </row>
    <row r="154" spans="18:23" ht="15" customHeight="1" hidden="1">
      <c r="R154" s="398">
        <v>84</v>
      </c>
      <c r="S154" s="398" t="s">
        <v>269</v>
      </c>
      <c r="T154" s="398" t="s">
        <v>280</v>
      </c>
      <c r="U154" s="400">
        <v>40</v>
      </c>
      <c r="V154" s="400">
        <v>50</v>
      </c>
      <c r="W154" s="400">
        <v>45</v>
      </c>
    </row>
    <row r="155" spans="18:23" ht="15" customHeight="1" hidden="1">
      <c r="R155" s="398">
        <v>85</v>
      </c>
      <c r="S155" s="398" t="s">
        <v>263</v>
      </c>
      <c r="T155" s="398" t="s">
        <v>280</v>
      </c>
      <c r="U155" s="400">
        <v>40</v>
      </c>
      <c r="V155" s="400">
        <v>50</v>
      </c>
      <c r="W155" s="400">
        <v>45</v>
      </c>
    </row>
    <row r="156" spans="18:23" ht="15" customHeight="1" hidden="1">
      <c r="R156" s="398">
        <v>86</v>
      </c>
      <c r="S156" s="398" t="s">
        <v>264</v>
      </c>
      <c r="T156" s="398" t="s">
        <v>280</v>
      </c>
      <c r="U156" s="400">
        <v>40</v>
      </c>
      <c r="V156" s="400">
        <v>50</v>
      </c>
      <c r="W156" s="400">
        <v>45</v>
      </c>
    </row>
    <row r="157" spans="18:23" ht="15" customHeight="1" hidden="1">
      <c r="R157" s="398">
        <v>87</v>
      </c>
      <c r="S157" s="398" t="s">
        <v>254</v>
      </c>
      <c r="T157" s="398" t="s">
        <v>280</v>
      </c>
      <c r="U157" s="400">
        <v>40</v>
      </c>
      <c r="V157" s="400">
        <v>50</v>
      </c>
      <c r="W157" s="400">
        <v>45</v>
      </c>
    </row>
    <row r="158" spans="18:23" ht="15" customHeight="1" hidden="1">
      <c r="R158" s="398">
        <v>88</v>
      </c>
      <c r="S158" s="398" t="s">
        <v>259</v>
      </c>
      <c r="T158" s="398" t="s">
        <v>280</v>
      </c>
      <c r="U158" s="400">
        <v>40</v>
      </c>
      <c r="V158" s="400">
        <v>50</v>
      </c>
      <c r="W158" s="400">
        <v>45</v>
      </c>
    </row>
    <row r="159" spans="18:23" ht="15" customHeight="1" hidden="1">
      <c r="R159" s="398">
        <v>89</v>
      </c>
      <c r="S159" s="398" t="s">
        <v>266</v>
      </c>
      <c r="T159" s="398" t="s">
        <v>280</v>
      </c>
      <c r="U159" s="400">
        <v>40</v>
      </c>
      <c r="V159" s="400">
        <v>50</v>
      </c>
      <c r="W159" s="400">
        <v>45</v>
      </c>
    </row>
    <row r="160" spans="18:23" ht="15" customHeight="1" hidden="1">
      <c r="R160" s="398">
        <v>90</v>
      </c>
      <c r="S160" s="398" t="s">
        <v>260</v>
      </c>
      <c r="T160" s="398" t="s">
        <v>280</v>
      </c>
      <c r="U160" s="400">
        <v>40</v>
      </c>
      <c r="V160" s="400">
        <v>50</v>
      </c>
      <c r="W160" s="400">
        <v>45</v>
      </c>
    </row>
    <row r="161" spans="18:23" ht="15" customHeight="1" hidden="1">
      <c r="R161" s="398">
        <v>91</v>
      </c>
      <c r="S161" s="398" t="s">
        <v>258</v>
      </c>
      <c r="T161" s="398" t="s">
        <v>281</v>
      </c>
      <c r="U161" s="400">
        <v>40</v>
      </c>
      <c r="V161" s="400">
        <v>50</v>
      </c>
      <c r="W161" s="400">
        <v>45</v>
      </c>
    </row>
    <row r="162" spans="18:23" ht="15" customHeight="1" hidden="1">
      <c r="R162" s="398">
        <v>92</v>
      </c>
      <c r="S162" s="398" t="s">
        <v>267</v>
      </c>
      <c r="T162" s="398" t="s">
        <v>281</v>
      </c>
      <c r="U162" s="400">
        <v>40</v>
      </c>
      <c r="V162" s="400">
        <v>50</v>
      </c>
      <c r="W162" s="400">
        <v>45</v>
      </c>
    </row>
    <row r="163" spans="18:23" ht="15" customHeight="1" hidden="1">
      <c r="R163" s="398">
        <v>93</v>
      </c>
      <c r="S163" s="398" t="s">
        <v>271</v>
      </c>
      <c r="T163" s="398" t="s">
        <v>281</v>
      </c>
      <c r="U163" s="400">
        <v>40</v>
      </c>
      <c r="V163" s="400">
        <v>50</v>
      </c>
      <c r="W163" s="400">
        <v>45</v>
      </c>
    </row>
    <row r="164" spans="18:23" ht="15" customHeight="1" hidden="1">
      <c r="R164" s="398">
        <v>94</v>
      </c>
      <c r="S164" s="398" t="s">
        <v>256</v>
      </c>
      <c r="T164" s="398" t="s">
        <v>281</v>
      </c>
      <c r="U164" s="400">
        <v>40</v>
      </c>
      <c r="V164" s="400">
        <v>50</v>
      </c>
      <c r="W164" s="400">
        <v>45</v>
      </c>
    </row>
    <row r="165" spans="18:23" ht="15" customHeight="1" hidden="1">
      <c r="R165" s="398">
        <v>95</v>
      </c>
      <c r="S165" s="398" t="s">
        <v>255</v>
      </c>
      <c r="T165" s="398" t="s">
        <v>281</v>
      </c>
      <c r="U165" s="400">
        <v>40</v>
      </c>
      <c r="V165" s="400">
        <v>50</v>
      </c>
      <c r="W165" s="400">
        <v>45</v>
      </c>
    </row>
    <row r="166" spans="18:23" ht="15" customHeight="1" hidden="1">
      <c r="R166" s="398">
        <v>96</v>
      </c>
      <c r="S166" s="398" t="s">
        <v>265</v>
      </c>
      <c r="T166" s="398" t="s">
        <v>281</v>
      </c>
      <c r="U166" s="400">
        <v>40</v>
      </c>
      <c r="V166" s="400">
        <v>50</v>
      </c>
      <c r="W166" s="400">
        <v>45</v>
      </c>
    </row>
    <row r="167" spans="18:23" ht="15" customHeight="1" hidden="1">
      <c r="R167" s="398">
        <v>97</v>
      </c>
      <c r="S167" s="398" t="s">
        <v>257</v>
      </c>
      <c r="T167" s="398" t="s">
        <v>281</v>
      </c>
      <c r="U167" s="400">
        <v>40</v>
      </c>
      <c r="V167" s="400">
        <v>50</v>
      </c>
      <c r="W167" s="400">
        <v>45</v>
      </c>
    </row>
    <row r="168" spans="18:23" ht="15" customHeight="1" hidden="1">
      <c r="R168" s="398">
        <v>98</v>
      </c>
      <c r="S168" s="398" t="s">
        <v>262</v>
      </c>
      <c r="T168" s="398" t="s">
        <v>281</v>
      </c>
      <c r="U168" s="400">
        <v>40</v>
      </c>
      <c r="V168" s="400">
        <v>50</v>
      </c>
      <c r="W168" s="400">
        <v>45</v>
      </c>
    </row>
    <row r="169" spans="18:23" ht="15" customHeight="1" hidden="1">
      <c r="R169" s="398">
        <v>99</v>
      </c>
      <c r="S169" s="398" t="s">
        <v>270</v>
      </c>
      <c r="T169" s="398" t="s">
        <v>281</v>
      </c>
      <c r="U169" s="400">
        <v>40</v>
      </c>
      <c r="V169" s="400">
        <v>50</v>
      </c>
      <c r="W169" s="400">
        <v>45</v>
      </c>
    </row>
    <row r="170" spans="18:23" ht="15" customHeight="1" hidden="1">
      <c r="R170" s="398">
        <v>100</v>
      </c>
      <c r="S170" s="398" t="s">
        <v>261</v>
      </c>
      <c r="T170" s="398" t="s">
        <v>281</v>
      </c>
      <c r="U170" s="400">
        <v>40</v>
      </c>
      <c r="V170" s="400">
        <v>50</v>
      </c>
      <c r="W170" s="400">
        <v>45</v>
      </c>
    </row>
    <row r="171" spans="18:23" ht="15" customHeight="1" hidden="1">
      <c r="R171" s="398">
        <v>101</v>
      </c>
      <c r="S171" s="398" t="s">
        <v>268</v>
      </c>
      <c r="T171" s="398" t="s">
        <v>281</v>
      </c>
      <c r="U171" s="400">
        <v>40</v>
      </c>
      <c r="V171" s="400">
        <v>50</v>
      </c>
      <c r="W171" s="400">
        <v>45</v>
      </c>
    </row>
    <row r="172" spans="18:23" ht="15" customHeight="1" hidden="1">
      <c r="R172" s="398">
        <v>102</v>
      </c>
      <c r="S172" s="398" t="s">
        <v>269</v>
      </c>
      <c r="T172" s="398" t="s">
        <v>281</v>
      </c>
      <c r="U172" s="400">
        <v>40</v>
      </c>
      <c r="V172" s="400">
        <v>50</v>
      </c>
      <c r="W172" s="400">
        <v>45</v>
      </c>
    </row>
    <row r="173" spans="18:23" ht="15" customHeight="1" hidden="1">
      <c r="R173" s="398">
        <v>103</v>
      </c>
      <c r="S173" s="398" t="s">
        <v>263</v>
      </c>
      <c r="T173" s="398" t="s">
        <v>281</v>
      </c>
      <c r="U173" s="400">
        <v>40</v>
      </c>
      <c r="V173" s="400">
        <v>50</v>
      </c>
      <c r="W173" s="400">
        <v>45</v>
      </c>
    </row>
    <row r="174" spans="18:23" ht="15" customHeight="1" hidden="1">
      <c r="R174" s="398">
        <v>104</v>
      </c>
      <c r="S174" s="398" t="s">
        <v>264</v>
      </c>
      <c r="T174" s="398" t="s">
        <v>281</v>
      </c>
      <c r="U174" s="400">
        <v>40</v>
      </c>
      <c r="V174" s="400">
        <v>50</v>
      </c>
      <c r="W174" s="400">
        <v>45</v>
      </c>
    </row>
    <row r="175" spans="18:23" ht="15" customHeight="1" hidden="1">
      <c r="R175" s="398">
        <v>105</v>
      </c>
      <c r="S175" s="398" t="s">
        <v>254</v>
      </c>
      <c r="T175" s="398" t="s">
        <v>281</v>
      </c>
      <c r="U175" s="400">
        <v>40</v>
      </c>
      <c r="V175" s="400">
        <v>50</v>
      </c>
      <c r="W175" s="400">
        <v>45</v>
      </c>
    </row>
    <row r="176" spans="18:23" ht="15" customHeight="1" hidden="1">
      <c r="R176" s="398">
        <v>106</v>
      </c>
      <c r="S176" s="398" t="s">
        <v>259</v>
      </c>
      <c r="T176" s="398" t="s">
        <v>281</v>
      </c>
      <c r="U176" s="400">
        <v>40</v>
      </c>
      <c r="V176" s="400">
        <v>50</v>
      </c>
      <c r="W176" s="400">
        <v>45</v>
      </c>
    </row>
    <row r="177" spans="18:23" ht="15" customHeight="1" hidden="1">
      <c r="R177" s="398">
        <v>107</v>
      </c>
      <c r="S177" s="398" t="s">
        <v>266</v>
      </c>
      <c r="T177" s="398" t="s">
        <v>281</v>
      </c>
      <c r="U177" s="400">
        <v>40</v>
      </c>
      <c r="V177" s="400">
        <v>50</v>
      </c>
      <c r="W177" s="400">
        <v>45</v>
      </c>
    </row>
    <row r="178" spans="18:23" ht="15" customHeight="1" hidden="1">
      <c r="R178" s="398">
        <v>108</v>
      </c>
      <c r="S178" s="398" t="s">
        <v>260</v>
      </c>
      <c r="T178" s="398" t="s">
        <v>281</v>
      </c>
      <c r="U178" s="400">
        <v>40</v>
      </c>
      <c r="V178" s="400">
        <v>50</v>
      </c>
      <c r="W178" s="400">
        <v>45</v>
      </c>
    </row>
    <row r="179" spans="18:23" ht="15" customHeight="1" hidden="1">
      <c r="R179" s="398">
        <v>109</v>
      </c>
      <c r="S179" s="398" t="s">
        <v>258</v>
      </c>
      <c r="T179" s="398" t="s">
        <v>282</v>
      </c>
      <c r="U179" s="399">
        <v>30</v>
      </c>
      <c r="V179" s="400">
        <v>50</v>
      </c>
      <c r="W179" s="400">
        <v>45</v>
      </c>
    </row>
    <row r="180" spans="18:23" ht="15" customHeight="1" hidden="1">
      <c r="R180" s="398">
        <v>110</v>
      </c>
      <c r="S180" s="398" t="s">
        <v>267</v>
      </c>
      <c r="T180" s="398" t="s">
        <v>282</v>
      </c>
      <c r="U180" s="399">
        <v>30</v>
      </c>
      <c r="V180" s="400">
        <v>50</v>
      </c>
      <c r="W180" s="400">
        <v>45</v>
      </c>
    </row>
    <row r="181" spans="18:23" ht="15" customHeight="1" hidden="1">
      <c r="R181" s="398">
        <v>111</v>
      </c>
      <c r="S181" s="398" t="s">
        <v>271</v>
      </c>
      <c r="T181" s="398" t="s">
        <v>282</v>
      </c>
      <c r="U181" s="399">
        <v>30</v>
      </c>
      <c r="V181" s="400">
        <v>50</v>
      </c>
      <c r="W181" s="400">
        <v>45</v>
      </c>
    </row>
    <row r="182" spans="18:23" ht="15" customHeight="1" hidden="1">
      <c r="R182" s="398">
        <v>112</v>
      </c>
      <c r="S182" s="398" t="s">
        <v>256</v>
      </c>
      <c r="T182" s="398" t="s">
        <v>282</v>
      </c>
      <c r="U182" s="399">
        <v>30</v>
      </c>
      <c r="V182" s="400">
        <v>50</v>
      </c>
      <c r="W182" s="400">
        <v>45</v>
      </c>
    </row>
    <row r="183" spans="18:23" ht="15" customHeight="1" hidden="1">
      <c r="R183" s="398">
        <v>113</v>
      </c>
      <c r="S183" s="398" t="s">
        <v>255</v>
      </c>
      <c r="T183" s="398" t="s">
        <v>282</v>
      </c>
      <c r="U183" s="399">
        <v>30</v>
      </c>
      <c r="V183" s="400">
        <v>50</v>
      </c>
      <c r="W183" s="400">
        <v>45</v>
      </c>
    </row>
    <row r="184" spans="18:23" ht="15" customHeight="1" hidden="1">
      <c r="R184" s="398">
        <v>114</v>
      </c>
      <c r="S184" s="398" t="s">
        <v>265</v>
      </c>
      <c r="T184" s="398" t="s">
        <v>282</v>
      </c>
      <c r="U184" s="399">
        <v>30</v>
      </c>
      <c r="V184" s="400">
        <v>50</v>
      </c>
      <c r="W184" s="400">
        <v>45</v>
      </c>
    </row>
    <row r="185" spans="18:23" ht="15" customHeight="1" hidden="1">
      <c r="R185" s="398">
        <v>115</v>
      </c>
      <c r="S185" s="398" t="s">
        <v>257</v>
      </c>
      <c r="T185" s="398" t="s">
        <v>282</v>
      </c>
      <c r="U185" s="399">
        <v>30</v>
      </c>
      <c r="V185" s="400">
        <v>50</v>
      </c>
      <c r="W185" s="400">
        <v>45</v>
      </c>
    </row>
    <row r="186" spans="18:23" ht="15" customHeight="1" hidden="1">
      <c r="R186" s="398">
        <v>116</v>
      </c>
      <c r="S186" s="398" t="s">
        <v>262</v>
      </c>
      <c r="T186" s="398" t="s">
        <v>282</v>
      </c>
      <c r="U186" s="399">
        <v>30</v>
      </c>
      <c r="V186" s="400">
        <v>50</v>
      </c>
      <c r="W186" s="400">
        <v>45</v>
      </c>
    </row>
    <row r="187" spans="18:23" ht="15" customHeight="1" hidden="1">
      <c r="R187" s="398">
        <v>117</v>
      </c>
      <c r="S187" s="398" t="s">
        <v>270</v>
      </c>
      <c r="T187" s="398" t="s">
        <v>282</v>
      </c>
      <c r="U187" s="399">
        <v>30</v>
      </c>
      <c r="V187" s="400">
        <v>50</v>
      </c>
      <c r="W187" s="400">
        <v>45</v>
      </c>
    </row>
    <row r="188" spans="18:23" ht="15" customHeight="1" hidden="1">
      <c r="R188" s="398">
        <v>118</v>
      </c>
      <c r="S188" s="398" t="s">
        <v>261</v>
      </c>
      <c r="T188" s="398" t="s">
        <v>282</v>
      </c>
      <c r="U188" s="399">
        <v>30</v>
      </c>
      <c r="V188" s="400">
        <v>50</v>
      </c>
      <c r="W188" s="400">
        <v>45</v>
      </c>
    </row>
    <row r="189" spans="18:23" ht="15" customHeight="1" hidden="1">
      <c r="R189" s="398">
        <v>119</v>
      </c>
      <c r="S189" s="398" t="s">
        <v>268</v>
      </c>
      <c r="T189" s="398" t="s">
        <v>282</v>
      </c>
      <c r="U189" s="399">
        <v>30</v>
      </c>
      <c r="V189" s="400">
        <v>50</v>
      </c>
      <c r="W189" s="400">
        <v>45</v>
      </c>
    </row>
    <row r="190" spans="18:23" ht="15" customHeight="1" hidden="1">
      <c r="R190" s="398">
        <v>120</v>
      </c>
      <c r="S190" s="398" t="s">
        <v>269</v>
      </c>
      <c r="T190" s="398" t="s">
        <v>282</v>
      </c>
      <c r="U190" s="399">
        <v>30</v>
      </c>
      <c r="V190" s="400">
        <v>50</v>
      </c>
      <c r="W190" s="400">
        <v>45</v>
      </c>
    </row>
    <row r="191" spans="18:23" ht="15" customHeight="1" hidden="1">
      <c r="R191" s="398">
        <v>121</v>
      </c>
      <c r="S191" s="398" t="s">
        <v>263</v>
      </c>
      <c r="T191" s="398" t="s">
        <v>282</v>
      </c>
      <c r="U191" s="399">
        <v>30</v>
      </c>
      <c r="V191" s="400">
        <v>50</v>
      </c>
      <c r="W191" s="400">
        <v>45</v>
      </c>
    </row>
    <row r="192" spans="18:23" ht="15" customHeight="1" hidden="1">
      <c r="R192" s="398">
        <v>122</v>
      </c>
      <c r="S192" s="398" t="s">
        <v>264</v>
      </c>
      <c r="T192" s="398" t="s">
        <v>282</v>
      </c>
      <c r="U192" s="399">
        <v>30</v>
      </c>
      <c r="V192" s="400">
        <v>50</v>
      </c>
      <c r="W192" s="400">
        <v>45</v>
      </c>
    </row>
    <row r="193" spans="18:23" ht="15" customHeight="1" hidden="1">
      <c r="R193" s="398">
        <v>123</v>
      </c>
      <c r="S193" s="398" t="s">
        <v>254</v>
      </c>
      <c r="T193" s="398" t="s">
        <v>282</v>
      </c>
      <c r="U193" s="399">
        <v>30</v>
      </c>
      <c r="V193" s="400">
        <v>50</v>
      </c>
      <c r="W193" s="400">
        <v>45</v>
      </c>
    </row>
    <row r="194" spans="18:23" ht="15" customHeight="1" hidden="1">
      <c r="R194" s="398">
        <v>124</v>
      </c>
      <c r="S194" s="398" t="s">
        <v>259</v>
      </c>
      <c r="T194" s="398" t="s">
        <v>282</v>
      </c>
      <c r="U194" s="399">
        <v>30</v>
      </c>
      <c r="V194" s="400">
        <v>50</v>
      </c>
      <c r="W194" s="400">
        <v>45</v>
      </c>
    </row>
    <row r="195" spans="18:23" ht="15" customHeight="1" hidden="1">
      <c r="R195" s="398">
        <v>125</v>
      </c>
      <c r="S195" s="398" t="s">
        <v>266</v>
      </c>
      <c r="T195" s="398" t="s">
        <v>282</v>
      </c>
      <c r="U195" s="399">
        <v>30</v>
      </c>
      <c r="V195" s="400">
        <v>50</v>
      </c>
      <c r="W195" s="400">
        <v>45</v>
      </c>
    </row>
    <row r="196" spans="18:23" ht="15" customHeight="1" hidden="1">
      <c r="R196" s="398">
        <v>126</v>
      </c>
      <c r="S196" s="398" t="s">
        <v>260</v>
      </c>
      <c r="T196" s="398" t="s">
        <v>282</v>
      </c>
      <c r="U196" s="399">
        <v>30</v>
      </c>
      <c r="V196" s="400">
        <v>50</v>
      </c>
      <c r="W196" s="400">
        <v>45</v>
      </c>
    </row>
    <row r="197" spans="18:23" ht="15" customHeight="1" hidden="1">
      <c r="R197" s="398">
        <v>127</v>
      </c>
      <c r="S197" s="398" t="s">
        <v>258</v>
      </c>
      <c r="T197" s="398" t="s">
        <v>283</v>
      </c>
      <c r="U197" s="399">
        <v>30</v>
      </c>
      <c r="V197" s="400">
        <v>50</v>
      </c>
      <c r="W197" s="400">
        <v>45</v>
      </c>
    </row>
    <row r="198" spans="18:23" ht="15" customHeight="1" hidden="1">
      <c r="R198" s="398">
        <v>128</v>
      </c>
      <c r="S198" s="398" t="s">
        <v>267</v>
      </c>
      <c r="T198" s="398" t="s">
        <v>283</v>
      </c>
      <c r="U198" s="399">
        <v>30</v>
      </c>
      <c r="V198" s="400">
        <v>50</v>
      </c>
      <c r="W198" s="400">
        <v>45</v>
      </c>
    </row>
    <row r="199" spans="18:23" ht="15" customHeight="1" hidden="1">
      <c r="R199" s="398">
        <v>129</v>
      </c>
      <c r="S199" s="398" t="s">
        <v>271</v>
      </c>
      <c r="T199" s="398" t="s">
        <v>283</v>
      </c>
      <c r="U199" s="399">
        <v>30</v>
      </c>
      <c r="V199" s="400">
        <v>50</v>
      </c>
      <c r="W199" s="400">
        <v>45</v>
      </c>
    </row>
    <row r="200" spans="18:23" ht="15" customHeight="1" hidden="1">
      <c r="R200" s="398">
        <v>130</v>
      </c>
      <c r="S200" s="398" t="s">
        <v>256</v>
      </c>
      <c r="T200" s="398" t="s">
        <v>283</v>
      </c>
      <c r="U200" s="399">
        <v>30</v>
      </c>
      <c r="V200" s="400">
        <v>50</v>
      </c>
      <c r="W200" s="400">
        <v>45</v>
      </c>
    </row>
    <row r="201" spans="18:23" ht="15" customHeight="1" hidden="1">
      <c r="R201" s="398">
        <v>131</v>
      </c>
      <c r="S201" s="398" t="s">
        <v>255</v>
      </c>
      <c r="T201" s="398" t="s">
        <v>283</v>
      </c>
      <c r="U201" s="399">
        <v>30</v>
      </c>
      <c r="V201" s="400">
        <v>50</v>
      </c>
      <c r="W201" s="400">
        <v>45</v>
      </c>
    </row>
    <row r="202" spans="18:23" ht="15" customHeight="1" hidden="1">
      <c r="R202" s="398">
        <v>132</v>
      </c>
      <c r="S202" s="398" t="s">
        <v>265</v>
      </c>
      <c r="T202" s="398" t="s">
        <v>283</v>
      </c>
      <c r="U202" s="399">
        <v>30</v>
      </c>
      <c r="V202" s="400">
        <v>50</v>
      </c>
      <c r="W202" s="400">
        <v>45</v>
      </c>
    </row>
    <row r="203" spans="18:23" ht="15" customHeight="1" hidden="1">
      <c r="R203" s="398">
        <v>133</v>
      </c>
      <c r="S203" s="398" t="s">
        <v>257</v>
      </c>
      <c r="T203" s="398" t="s">
        <v>283</v>
      </c>
      <c r="U203" s="399">
        <v>30</v>
      </c>
      <c r="V203" s="400">
        <v>50</v>
      </c>
      <c r="W203" s="400">
        <v>45</v>
      </c>
    </row>
    <row r="204" spans="18:23" ht="15" customHeight="1" hidden="1">
      <c r="R204" s="398">
        <v>134</v>
      </c>
      <c r="S204" s="398" t="s">
        <v>262</v>
      </c>
      <c r="T204" s="398" t="s">
        <v>283</v>
      </c>
      <c r="U204" s="399">
        <v>30</v>
      </c>
      <c r="V204" s="400">
        <v>50</v>
      </c>
      <c r="W204" s="400">
        <v>45</v>
      </c>
    </row>
    <row r="205" spans="18:23" ht="15" customHeight="1" hidden="1">
      <c r="R205" s="398">
        <v>135</v>
      </c>
      <c r="S205" s="398" t="s">
        <v>270</v>
      </c>
      <c r="T205" s="398" t="s">
        <v>283</v>
      </c>
      <c r="U205" s="399">
        <v>30</v>
      </c>
      <c r="V205" s="400">
        <v>50</v>
      </c>
      <c r="W205" s="400">
        <v>45</v>
      </c>
    </row>
    <row r="206" spans="18:23" ht="15" customHeight="1" hidden="1">
      <c r="R206" s="398">
        <v>136</v>
      </c>
      <c r="S206" s="398" t="s">
        <v>261</v>
      </c>
      <c r="T206" s="398" t="s">
        <v>283</v>
      </c>
      <c r="U206" s="399">
        <v>30</v>
      </c>
      <c r="V206" s="400">
        <v>50</v>
      </c>
      <c r="W206" s="400">
        <v>45</v>
      </c>
    </row>
    <row r="207" spans="18:23" ht="15" customHeight="1" hidden="1">
      <c r="R207" s="398">
        <v>137</v>
      </c>
      <c r="S207" s="398" t="s">
        <v>268</v>
      </c>
      <c r="T207" s="398" t="s">
        <v>283</v>
      </c>
      <c r="U207" s="399">
        <v>30</v>
      </c>
      <c r="V207" s="400">
        <v>50</v>
      </c>
      <c r="W207" s="400">
        <v>45</v>
      </c>
    </row>
    <row r="208" spans="18:23" ht="15" customHeight="1" hidden="1">
      <c r="R208" s="398">
        <v>138</v>
      </c>
      <c r="S208" s="398" t="s">
        <v>269</v>
      </c>
      <c r="T208" s="398" t="s">
        <v>283</v>
      </c>
      <c r="U208" s="399">
        <v>30</v>
      </c>
      <c r="V208" s="400">
        <v>50</v>
      </c>
      <c r="W208" s="400">
        <v>45</v>
      </c>
    </row>
    <row r="209" spans="18:23" ht="15" customHeight="1" hidden="1">
      <c r="R209" s="398">
        <v>139</v>
      </c>
      <c r="S209" s="398" t="s">
        <v>263</v>
      </c>
      <c r="T209" s="398" t="s">
        <v>283</v>
      </c>
      <c r="U209" s="399">
        <v>30</v>
      </c>
      <c r="V209" s="400">
        <v>50</v>
      </c>
      <c r="W209" s="400">
        <v>45</v>
      </c>
    </row>
    <row r="210" spans="18:23" ht="15" customHeight="1" hidden="1">
      <c r="R210" s="398">
        <v>140</v>
      </c>
      <c r="S210" s="398" t="s">
        <v>264</v>
      </c>
      <c r="T210" s="398" t="s">
        <v>283</v>
      </c>
      <c r="U210" s="399">
        <v>30</v>
      </c>
      <c r="V210" s="400">
        <v>50</v>
      </c>
      <c r="W210" s="400">
        <v>45</v>
      </c>
    </row>
    <row r="211" spans="18:23" ht="15" customHeight="1" hidden="1">
      <c r="R211" s="398">
        <v>141</v>
      </c>
      <c r="S211" s="398" t="s">
        <v>254</v>
      </c>
      <c r="T211" s="398" t="s">
        <v>283</v>
      </c>
      <c r="U211" s="399">
        <v>30</v>
      </c>
      <c r="V211" s="400">
        <v>50</v>
      </c>
      <c r="W211" s="400">
        <v>45</v>
      </c>
    </row>
    <row r="212" spans="18:23" ht="15" customHeight="1" hidden="1">
      <c r="R212" s="398">
        <v>142</v>
      </c>
      <c r="S212" s="398" t="s">
        <v>259</v>
      </c>
      <c r="T212" s="398" t="s">
        <v>283</v>
      </c>
      <c r="U212" s="399">
        <v>30</v>
      </c>
      <c r="V212" s="400">
        <v>50</v>
      </c>
      <c r="W212" s="400">
        <v>45</v>
      </c>
    </row>
    <row r="213" spans="18:23" ht="15" customHeight="1" hidden="1">
      <c r="R213" s="398">
        <v>143</v>
      </c>
      <c r="S213" s="398" t="s">
        <v>266</v>
      </c>
      <c r="T213" s="398" t="s">
        <v>283</v>
      </c>
      <c r="U213" s="399">
        <v>30</v>
      </c>
      <c r="V213" s="400">
        <v>50</v>
      </c>
      <c r="W213" s="400">
        <v>45</v>
      </c>
    </row>
    <row r="214" spans="18:23" ht="15" customHeight="1" hidden="1">
      <c r="R214" s="398">
        <v>144</v>
      </c>
      <c r="S214" s="398" t="s">
        <v>260</v>
      </c>
      <c r="T214" s="398" t="s">
        <v>283</v>
      </c>
      <c r="U214" s="399">
        <v>30</v>
      </c>
      <c r="V214" s="400">
        <v>50</v>
      </c>
      <c r="W214" s="400">
        <v>45</v>
      </c>
    </row>
    <row r="215" spans="18:23" ht="15" customHeight="1" hidden="1">
      <c r="R215" s="398">
        <v>145</v>
      </c>
      <c r="S215" s="398" t="s">
        <v>258</v>
      </c>
      <c r="T215" s="398" t="s">
        <v>284</v>
      </c>
      <c r="U215" s="399">
        <v>10</v>
      </c>
      <c r="V215" s="400">
        <v>45</v>
      </c>
      <c r="W215" s="400">
        <v>40</v>
      </c>
    </row>
    <row r="216" spans="18:23" ht="15" customHeight="1" hidden="1">
      <c r="R216" s="398">
        <v>146</v>
      </c>
      <c r="S216" s="398" t="s">
        <v>267</v>
      </c>
      <c r="T216" s="398" t="s">
        <v>284</v>
      </c>
      <c r="U216" s="399">
        <v>10</v>
      </c>
      <c r="V216" s="400">
        <v>45</v>
      </c>
      <c r="W216" s="400">
        <v>40</v>
      </c>
    </row>
    <row r="217" spans="18:23" ht="15" customHeight="1" hidden="1">
      <c r="R217" s="398">
        <v>147</v>
      </c>
      <c r="S217" s="398" t="s">
        <v>271</v>
      </c>
      <c r="T217" s="398" t="s">
        <v>284</v>
      </c>
      <c r="U217" s="399">
        <v>20</v>
      </c>
      <c r="V217" s="400">
        <v>40</v>
      </c>
      <c r="W217" s="400">
        <v>35</v>
      </c>
    </row>
    <row r="218" spans="18:23" ht="15" customHeight="1" hidden="1">
      <c r="R218" s="398">
        <v>148</v>
      </c>
      <c r="S218" s="398" t="s">
        <v>256</v>
      </c>
      <c r="T218" s="398" t="s">
        <v>284</v>
      </c>
      <c r="U218" s="399">
        <v>10</v>
      </c>
      <c r="V218" s="400">
        <v>35</v>
      </c>
      <c r="W218" s="400">
        <v>30</v>
      </c>
    </row>
    <row r="219" spans="18:23" ht="15" customHeight="1" hidden="1">
      <c r="R219" s="398">
        <v>149</v>
      </c>
      <c r="S219" s="398" t="s">
        <v>255</v>
      </c>
      <c r="T219" s="398" t="s">
        <v>284</v>
      </c>
      <c r="U219" s="399">
        <v>10</v>
      </c>
      <c r="V219" s="400">
        <v>35</v>
      </c>
      <c r="W219" s="400">
        <v>35</v>
      </c>
    </row>
    <row r="220" spans="18:23" ht="15" customHeight="1" hidden="1">
      <c r="R220" s="398">
        <v>150</v>
      </c>
      <c r="S220" s="398" t="s">
        <v>265</v>
      </c>
      <c r="T220" s="398" t="s">
        <v>284</v>
      </c>
      <c r="U220" s="399">
        <v>10</v>
      </c>
      <c r="V220" s="400">
        <v>35</v>
      </c>
      <c r="W220" s="400">
        <v>35</v>
      </c>
    </row>
    <row r="221" spans="18:23" ht="15" customHeight="1" hidden="1">
      <c r="R221" s="398">
        <v>151</v>
      </c>
      <c r="S221" s="398" t="s">
        <v>257</v>
      </c>
      <c r="T221" s="398" t="s">
        <v>284</v>
      </c>
      <c r="U221" s="399">
        <v>10</v>
      </c>
      <c r="V221" s="400">
        <v>35</v>
      </c>
      <c r="W221" s="400">
        <v>35</v>
      </c>
    </row>
    <row r="222" spans="18:23" ht="15" customHeight="1" hidden="1">
      <c r="R222" s="398">
        <v>152</v>
      </c>
      <c r="S222" s="398" t="s">
        <v>262</v>
      </c>
      <c r="T222" s="398" t="s">
        <v>284</v>
      </c>
      <c r="U222" s="399">
        <v>10</v>
      </c>
      <c r="V222" s="400">
        <v>30</v>
      </c>
      <c r="W222" s="400">
        <v>30</v>
      </c>
    </row>
    <row r="223" spans="18:23" ht="15" customHeight="1" hidden="1">
      <c r="R223" s="398">
        <v>153</v>
      </c>
      <c r="S223" s="398" t="s">
        <v>270</v>
      </c>
      <c r="T223" s="398" t="s">
        <v>284</v>
      </c>
      <c r="U223" s="399">
        <v>10</v>
      </c>
      <c r="V223" s="400">
        <v>35</v>
      </c>
      <c r="W223" s="400">
        <v>30</v>
      </c>
    </row>
    <row r="224" spans="18:23" ht="15" customHeight="1" hidden="1">
      <c r="R224" s="398">
        <v>154</v>
      </c>
      <c r="S224" s="398" t="s">
        <v>261</v>
      </c>
      <c r="T224" s="398" t="s">
        <v>284</v>
      </c>
      <c r="U224" s="399">
        <v>10</v>
      </c>
      <c r="V224" s="400">
        <v>30</v>
      </c>
      <c r="W224" s="400">
        <v>30</v>
      </c>
    </row>
    <row r="225" spans="18:23" ht="15" customHeight="1" hidden="1">
      <c r="R225" s="398">
        <v>155</v>
      </c>
      <c r="S225" s="398" t="s">
        <v>268</v>
      </c>
      <c r="T225" s="398" t="s">
        <v>284</v>
      </c>
      <c r="U225" s="399">
        <v>10</v>
      </c>
      <c r="V225" s="400">
        <v>35</v>
      </c>
      <c r="W225" s="400">
        <v>35</v>
      </c>
    </row>
    <row r="226" spans="18:23" ht="15" customHeight="1" hidden="1">
      <c r="R226" s="398">
        <v>156</v>
      </c>
      <c r="S226" s="398" t="s">
        <v>269</v>
      </c>
      <c r="T226" s="398" t="s">
        <v>284</v>
      </c>
      <c r="U226" s="399">
        <v>10</v>
      </c>
      <c r="V226" s="400">
        <v>40</v>
      </c>
      <c r="W226" s="400">
        <v>40</v>
      </c>
    </row>
    <row r="227" spans="18:23" ht="15" customHeight="1" hidden="1">
      <c r="R227" s="398">
        <v>157</v>
      </c>
      <c r="S227" s="398" t="s">
        <v>263</v>
      </c>
      <c r="T227" s="398" t="s">
        <v>284</v>
      </c>
      <c r="U227" s="399">
        <v>10</v>
      </c>
      <c r="V227" s="400">
        <v>40</v>
      </c>
      <c r="W227" s="400">
        <v>40</v>
      </c>
    </row>
    <row r="228" spans="18:23" ht="15" customHeight="1" hidden="1">
      <c r="R228" s="398">
        <v>158</v>
      </c>
      <c r="S228" s="398" t="s">
        <v>264</v>
      </c>
      <c r="T228" s="398" t="s">
        <v>284</v>
      </c>
      <c r="U228" s="399">
        <v>10</v>
      </c>
      <c r="V228" s="400">
        <v>40</v>
      </c>
      <c r="W228" s="400">
        <v>40</v>
      </c>
    </row>
    <row r="229" spans="18:23" ht="15" customHeight="1" hidden="1">
      <c r="R229" s="398">
        <v>159</v>
      </c>
      <c r="S229" s="398" t="s">
        <v>254</v>
      </c>
      <c r="T229" s="398" t="s">
        <v>284</v>
      </c>
      <c r="U229" s="399">
        <v>10</v>
      </c>
      <c r="V229" s="400">
        <v>40</v>
      </c>
      <c r="W229" s="400">
        <v>35</v>
      </c>
    </row>
    <row r="230" spans="18:23" ht="15" customHeight="1" hidden="1">
      <c r="R230" s="398">
        <v>160</v>
      </c>
      <c r="S230" s="398" t="s">
        <v>259</v>
      </c>
      <c r="T230" s="398" t="s">
        <v>284</v>
      </c>
      <c r="U230" s="399">
        <v>20</v>
      </c>
      <c r="V230" s="400">
        <v>40</v>
      </c>
      <c r="W230" s="400">
        <v>40</v>
      </c>
    </row>
    <row r="231" spans="18:23" ht="15" customHeight="1" hidden="1">
      <c r="R231" s="398">
        <v>161</v>
      </c>
      <c r="S231" s="398" t="s">
        <v>266</v>
      </c>
      <c r="T231" s="398" t="s">
        <v>284</v>
      </c>
      <c r="U231" s="399">
        <v>10</v>
      </c>
      <c r="V231" s="400">
        <v>40</v>
      </c>
      <c r="W231" s="400">
        <v>40</v>
      </c>
    </row>
    <row r="232" spans="18:23" ht="15" customHeight="1" hidden="1">
      <c r="R232" s="398">
        <v>162</v>
      </c>
      <c r="S232" s="398" t="s">
        <v>260</v>
      </c>
      <c r="T232" s="398" t="s">
        <v>284</v>
      </c>
      <c r="U232" s="399">
        <v>10</v>
      </c>
      <c r="V232" s="400">
        <v>45</v>
      </c>
      <c r="W232" s="400">
        <v>40</v>
      </c>
    </row>
    <row r="233" spans="18:23" ht="15" customHeight="1" hidden="1">
      <c r="R233" s="398">
        <v>163</v>
      </c>
      <c r="S233" s="398" t="s">
        <v>258</v>
      </c>
      <c r="T233" s="398" t="s">
        <v>285</v>
      </c>
      <c r="U233" s="399">
        <v>30</v>
      </c>
      <c r="V233" s="400">
        <v>50</v>
      </c>
      <c r="W233" s="400">
        <v>45</v>
      </c>
    </row>
    <row r="234" spans="18:23" ht="15" customHeight="1" hidden="1">
      <c r="R234" s="398">
        <v>164</v>
      </c>
      <c r="S234" s="398" t="s">
        <v>267</v>
      </c>
      <c r="T234" s="398" t="s">
        <v>285</v>
      </c>
      <c r="U234" s="399">
        <v>30</v>
      </c>
      <c r="V234" s="400">
        <v>50</v>
      </c>
      <c r="W234" s="400">
        <v>45</v>
      </c>
    </row>
    <row r="235" spans="18:23" ht="15" customHeight="1" hidden="1">
      <c r="R235" s="398">
        <v>165</v>
      </c>
      <c r="S235" s="398" t="s">
        <v>271</v>
      </c>
      <c r="T235" s="398" t="s">
        <v>285</v>
      </c>
      <c r="U235" s="399">
        <v>30</v>
      </c>
      <c r="V235" s="400">
        <v>50</v>
      </c>
      <c r="W235" s="400">
        <v>45</v>
      </c>
    </row>
    <row r="236" spans="18:23" ht="15" customHeight="1" hidden="1">
      <c r="R236" s="398">
        <v>166</v>
      </c>
      <c r="S236" s="398" t="s">
        <v>256</v>
      </c>
      <c r="T236" s="398" t="s">
        <v>285</v>
      </c>
      <c r="U236" s="399">
        <v>30</v>
      </c>
      <c r="V236" s="400">
        <v>50</v>
      </c>
      <c r="W236" s="400">
        <v>45</v>
      </c>
    </row>
    <row r="237" spans="18:23" ht="15" customHeight="1" hidden="1">
      <c r="R237" s="398">
        <v>167</v>
      </c>
      <c r="S237" s="398" t="s">
        <v>255</v>
      </c>
      <c r="T237" s="398" t="s">
        <v>285</v>
      </c>
      <c r="U237" s="399">
        <v>30</v>
      </c>
      <c r="V237" s="400">
        <v>50</v>
      </c>
      <c r="W237" s="400">
        <v>45</v>
      </c>
    </row>
    <row r="238" spans="18:23" ht="15" customHeight="1" hidden="1">
      <c r="R238" s="398">
        <v>168</v>
      </c>
      <c r="S238" s="398" t="s">
        <v>265</v>
      </c>
      <c r="T238" s="398" t="s">
        <v>285</v>
      </c>
      <c r="U238" s="399">
        <v>30</v>
      </c>
      <c r="V238" s="400">
        <v>50</v>
      </c>
      <c r="W238" s="400">
        <v>45</v>
      </c>
    </row>
    <row r="239" spans="18:23" ht="15" customHeight="1" hidden="1">
      <c r="R239" s="398">
        <v>169</v>
      </c>
      <c r="S239" s="398" t="s">
        <v>257</v>
      </c>
      <c r="T239" s="398" t="s">
        <v>285</v>
      </c>
      <c r="U239" s="399">
        <v>30</v>
      </c>
      <c r="V239" s="400">
        <v>50</v>
      </c>
      <c r="W239" s="400">
        <v>45</v>
      </c>
    </row>
    <row r="240" spans="18:23" ht="15" customHeight="1" hidden="1">
      <c r="R240" s="398">
        <v>170</v>
      </c>
      <c r="S240" s="398" t="s">
        <v>262</v>
      </c>
      <c r="T240" s="398" t="s">
        <v>285</v>
      </c>
      <c r="U240" s="399">
        <v>30</v>
      </c>
      <c r="V240" s="400">
        <v>50</v>
      </c>
      <c r="W240" s="400">
        <v>45</v>
      </c>
    </row>
    <row r="241" spans="18:23" ht="15" customHeight="1" hidden="1">
      <c r="R241" s="398">
        <v>171</v>
      </c>
      <c r="S241" s="398" t="s">
        <v>270</v>
      </c>
      <c r="T241" s="398" t="s">
        <v>285</v>
      </c>
      <c r="U241" s="399">
        <v>30</v>
      </c>
      <c r="V241" s="400">
        <v>50</v>
      </c>
      <c r="W241" s="400">
        <v>45</v>
      </c>
    </row>
    <row r="242" spans="18:23" ht="15" customHeight="1" hidden="1">
      <c r="R242" s="398">
        <v>172</v>
      </c>
      <c r="S242" s="398" t="s">
        <v>261</v>
      </c>
      <c r="T242" s="398" t="s">
        <v>285</v>
      </c>
      <c r="U242" s="399">
        <v>30</v>
      </c>
      <c r="V242" s="400">
        <v>50</v>
      </c>
      <c r="W242" s="400">
        <v>45</v>
      </c>
    </row>
    <row r="243" spans="18:23" ht="15" customHeight="1" hidden="1">
      <c r="R243" s="398">
        <v>173</v>
      </c>
      <c r="S243" s="398" t="s">
        <v>268</v>
      </c>
      <c r="T243" s="398" t="s">
        <v>285</v>
      </c>
      <c r="U243" s="399">
        <v>30</v>
      </c>
      <c r="V243" s="400">
        <v>50</v>
      </c>
      <c r="W243" s="400">
        <v>45</v>
      </c>
    </row>
    <row r="244" spans="18:23" ht="15" customHeight="1" hidden="1">
      <c r="R244" s="398">
        <v>174</v>
      </c>
      <c r="S244" s="398" t="s">
        <v>269</v>
      </c>
      <c r="T244" s="398" t="s">
        <v>285</v>
      </c>
      <c r="U244" s="399">
        <v>30</v>
      </c>
      <c r="V244" s="400">
        <v>50</v>
      </c>
      <c r="W244" s="400">
        <v>45</v>
      </c>
    </row>
    <row r="245" spans="18:23" ht="15" customHeight="1" hidden="1">
      <c r="R245" s="398">
        <v>175</v>
      </c>
      <c r="S245" s="398" t="s">
        <v>263</v>
      </c>
      <c r="T245" s="398" t="s">
        <v>285</v>
      </c>
      <c r="U245" s="399">
        <v>30</v>
      </c>
      <c r="V245" s="400">
        <v>50</v>
      </c>
      <c r="W245" s="400">
        <v>45</v>
      </c>
    </row>
    <row r="246" spans="18:23" ht="15" customHeight="1" hidden="1">
      <c r="R246" s="398">
        <v>176</v>
      </c>
      <c r="S246" s="398" t="s">
        <v>264</v>
      </c>
      <c r="T246" s="398" t="s">
        <v>285</v>
      </c>
      <c r="U246" s="399">
        <v>30</v>
      </c>
      <c r="V246" s="400">
        <v>50</v>
      </c>
      <c r="W246" s="400">
        <v>45</v>
      </c>
    </row>
    <row r="247" spans="18:23" ht="15" customHeight="1" hidden="1">
      <c r="R247" s="398">
        <v>177</v>
      </c>
      <c r="S247" s="398" t="s">
        <v>254</v>
      </c>
      <c r="T247" s="398" t="s">
        <v>285</v>
      </c>
      <c r="U247" s="399">
        <v>30</v>
      </c>
      <c r="V247" s="400">
        <v>50</v>
      </c>
      <c r="W247" s="400">
        <v>45</v>
      </c>
    </row>
    <row r="248" spans="18:23" ht="15" customHeight="1" hidden="1">
      <c r="R248" s="398">
        <v>178</v>
      </c>
      <c r="S248" s="398" t="s">
        <v>259</v>
      </c>
      <c r="T248" s="398" t="s">
        <v>285</v>
      </c>
      <c r="U248" s="399">
        <v>30</v>
      </c>
      <c r="V248" s="400">
        <v>50</v>
      </c>
      <c r="W248" s="400">
        <v>45</v>
      </c>
    </row>
    <row r="249" spans="18:23" ht="15" customHeight="1" hidden="1">
      <c r="R249" s="398">
        <v>179</v>
      </c>
      <c r="S249" s="398" t="s">
        <v>266</v>
      </c>
      <c r="T249" s="398" t="s">
        <v>285</v>
      </c>
      <c r="U249" s="399">
        <v>30</v>
      </c>
      <c r="V249" s="400">
        <v>50</v>
      </c>
      <c r="W249" s="400">
        <v>45</v>
      </c>
    </row>
    <row r="250" spans="18:23" ht="15" customHeight="1" hidden="1">
      <c r="R250" s="398">
        <v>180</v>
      </c>
      <c r="S250" s="398" t="s">
        <v>260</v>
      </c>
      <c r="T250" s="398" t="s">
        <v>285</v>
      </c>
      <c r="U250" s="399">
        <v>30</v>
      </c>
      <c r="V250" s="400">
        <v>50</v>
      </c>
      <c r="W250" s="400">
        <v>45</v>
      </c>
    </row>
    <row r="251" spans="18:23" ht="15" customHeight="1" hidden="1">
      <c r="R251" s="398">
        <v>181</v>
      </c>
      <c r="S251" s="398" t="s">
        <v>258</v>
      </c>
      <c r="T251" s="398" t="s">
        <v>286</v>
      </c>
      <c r="U251" s="399">
        <v>35</v>
      </c>
      <c r="V251" s="400">
        <v>50</v>
      </c>
      <c r="W251" s="400">
        <v>45</v>
      </c>
    </row>
    <row r="252" spans="18:23" ht="15" customHeight="1" hidden="1">
      <c r="R252" s="398">
        <v>182</v>
      </c>
      <c r="S252" s="398" t="s">
        <v>267</v>
      </c>
      <c r="T252" s="398" t="s">
        <v>286</v>
      </c>
      <c r="U252" s="399">
        <v>35</v>
      </c>
      <c r="V252" s="400">
        <v>50</v>
      </c>
      <c r="W252" s="400">
        <v>45</v>
      </c>
    </row>
    <row r="253" spans="18:23" ht="15" customHeight="1" hidden="1">
      <c r="R253" s="398">
        <v>183</v>
      </c>
      <c r="S253" s="398" t="s">
        <v>271</v>
      </c>
      <c r="T253" s="398" t="s">
        <v>286</v>
      </c>
      <c r="U253" s="399">
        <v>35</v>
      </c>
      <c r="V253" s="400">
        <v>50</v>
      </c>
      <c r="W253" s="400">
        <v>45</v>
      </c>
    </row>
    <row r="254" spans="18:23" ht="15" customHeight="1" hidden="1">
      <c r="R254" s="398">
        <v>184</v>
      </c>
      <c r="S254" s="398" t="s">
        <v>256</v>
      </c>
      <c r="T254" s="398" t="s">
        <v>286</v>
      </c>
      <c r="U254" s="399">
        <v>30</v>
      </c>
      <c r="V254" s="400">
        <v>50</v>
      </c>
      <c r="W254" s="400">
        <v>45</v>
      </c>
    </row>
    <row r="255" spans="18:23" ht="15" customHeight="1" hidden="1">
      <c r="R255" s="398">
        <v>185</v>
      </c>
      <c r="S255" s="398" t="s">
        <v>255</v>
      </c>
      <c r="T255" s="398" t="s">
        <v>286</v>
      </c>
      <c r="U255" s="399">
        <v>30</v>
      </c>
      <c r="V255" s="400">
        <v>50</v>
      </c>
      <c r="W255" s="400">
        <v>45</v>
      </c>
    </row>
    <row r="256" spans="18:23" ht="15" customHeight="1" hidden="1">
      <c r="R256" s="398">
        <v>186</v>
      </c>
      <c r="S256" s="398" t="s">
        <v>265</v>
      </c>
      <c r="T256" s="398" t="s">
        <v>286</v>
      </c>
      <c r="U256" s="399">
        <v>30</v>
      </c>
      <c r="V256" s="400">
        <v>50</v>
      </c>
      <c r="W256" s="400">
        <v>45</v>
      </c>
    </row>
    <row r="257" spans="18:23" ht="15" customHeight="1" hidden="1">
      <c r="R257" s="398">
        <v>187</v>
      </c>
      <c r="S257" s="398" t="s">
        <v>257</v>
      </c>
      <c r="T257" s="398" t="s">
        <v>286</v>
      </c>
      <c r="U257" s="399">
        <v>30</v>
      </c>
      <c r="V257" s="400">
        <v>50</v>
      </c>
      <c r="W257" s="400">
        <v>45</v>
      </c>
    </row>
    <row r="258" spans="18:23" ht="15" customHeight="1" hidden="1">
      <c r="R258" s="398">
        <v>188</v>
      </c>
      <c r="S258" s="398" t="s">
        <v>262</v>
      </c>
      <c r="T258" s="398" t="s">
        <v>286</v>
      </c>
      <c r="U258" s="399">
        <v>30</v>
      </c>
      <c r="V258" s="400">
        <v>50</v>
      </c>
      <c r="W258" s="400">
        <v>45</v>
      </c>
    </row>
    <row r="259" spans="18:23" ht="15" customHeight="1" hidden="1">
      <c r="R259" s="398">
        <v>189</v>
      </c>
      <c r="S259" s="398" t="s">
        <v>270</v>
      </c>
      <c r="T259" s="398" t="s">
        <v>286</v>
      </c>
      <c r="U259" s="399">
        <v>30</v>
      </c>
      <c r="V259" s="400">
        <v>50</v>
      </c>
      <c r="W259" s="400">
        <v>45</v>
      </c>
    </row>
    <row r="260" spans="18:23" ht="15" customHeight="1" hidden="1">
      <c r="R260" s="398">
        <v>190</v>
      </c>
      <c r="S260" s="398" t="s">
        <v>261</v>
      </c>
      <c r="T260" s="398" t="s">
        <v>286</v>
      </c>
      <c r="U260" s="399">
        <v>30</v>
      </c>
      <c r="V260" s="400">
        <v>50</v>
      </c>
      <c r="W260" s="400">
        <v>45</v>
      </c>
    </row>
    <row r="261" spans="18:23" ht="15" customHeight="1" hidden="1">
      <c r="R261" s="398">
        <v>191</v>
      </c>
      <c r="S261" s="398" t="s">
        <v>268</v>
      </c>
      <c r="T261" s="398" t="s">
        <v>286</v>
      </c>
      <c r="U261" s="399">
        <v>30</v>
      </c>
      <c r="V261" s="400">
        <v>50</v>
      </c>
      <c r="W261" s="400">
        <v>45</v>
      </c>
    </row>
    <row r="262" spans="18:23" ht="15" customHeight="1" hidden="1">
      <c r="R262" s="398">
        <v>192</v>
      </c>
      <c r="S262" s="398" t="s">
        <v>269</v>
      </c>
      <c r="T262" s="398" t="s">
        <v>286</v>
      </c>
      <c r="U262" s="399">
        <v>30</v>
      </c>
      <c r="V262" s="400">
        <v>50</v>
      </c>
      <c r="W262" s="400">
        <v>45</v>
      </c>
    </row>
    <row r="263" spans="18:23" ht="15" customHeight="1" hidden="1">
      <c r="R263" s="398">
        <v>193</v>
      </c>
      <c r="S263" s="398" t="s">
        <v>263</v>
      </c>
      <c r="T263" s="398" t="s">
        <v>286</v>
      </c>
      <c r="U263" s="399">
        <v>35</v>
      </c>
      <c r="V263" s="400">
        <v>50</v>
      </c>
      <c r="W263" s="400">
        <v>45</v>
      </c>
    </row>
    <row r="264" spans="18:23" ht="15" customHeight="1" hidden="1">
      <c r="R264" s="398">
        <v>194</v>
      </c>
      <c r="S264" s="398" t="s">
        <v>264</v>
      </c>
      <c r="T264" s="398" t="s">
        <v>286</v>
      </c>
      <c r="U264" s="399">
        <v>30</v>
      </c>
      <c r="V264" s="400">
        <v>50</v>
      </c>
      <c r="W264" s="400">
        <v>45</v>
      </c>
    </row>
    <row r="265" spans="18:23" ht="15" customHeight="1" hidden="1">
      <c r="R265" s="398">
        <v>195</v>
      </c>
      <c r="S265" s="398" t="s">
        <v>254</v>
      </c>
      <c r="T265" s="398" t="s">
        <v>286</v>
      </c>
      <c r="U265" s="399">
        <v>35</v>
      </c>
      <c r="V265" s="400">
        <v>50</v>
      </c>
      <c r="W265" s="400">
        <v>45</v>
      </c>
    </row>
    <row r="266" spans="18:23" ht="15" customHeight="1" hidden="1">
      <c r="R266" s="398">
        <v>196</v>
      </c>
      <c r="S266" s="398" t="s">
        <v>259</v>
      </c>
      <c r="T266" s="398" t="s">
        <v>286</v>
      </c>
      <c r="U266" s="399">
        <v>35</v>
      </c>
      <c r="V266" s="400">
        <v>50</v>
      </c>
      <c r="W266" s="400">
        <v>45</v>
      </c>
    </row>
    <row r="267" spans="18:23" ht="15" customHeight="1" hidden="1">
      <c r="R267" s="398">
        <v>197</v>
      </c>
      <c r="S267" s="398" t="s">
        <v>266</v>
      </c>
      <c r="T267" s="398" t="s">
        <v>286</v>
      </c>
      <c r="U267" s="399">
        <v>30</v>
      </c>
      <c r="V267" s="400">
        <v>50</v>
      </c>
      <c r="W267" s="400">
        <v>45</v>
      </c>
    </row>
    <row r="268" spans="18:23" ht="15" customHeight="1" hidden="1">
      <c r="R268" s="398">
        <v>198</v>
      </c>
      <c r="S268" s="398" t="s">
        <v>260</v>
      </c>
      <c r="T268" s="398" t="s">
        <v>286</v>
      </c>
      <c r="U268" s="399">
        <v>30</v>
      </c>
      <c r="V268" s="400">
        <v>50</v>
      </c>
      <c r="W268" s="400">
        <v>45</v>
      </c>
    </row>
    <row r="269" spans="18:23" ht="15" customHeight="1" hidden="1">
      <c r="R269" s="398">
        <v>199</v>
      </c>
      <c r="S269" s="398" t="s">
        <v>258</v>
      </c>
      <c r="T269" s="398" t="s">
        <v>287</v>
      </c>
      <c r="U269" s="399">
        <v>10</v>
      </c>
      <c r="V269" s="400">
        <v>20</v>
      </c>
      <c r="W269" s="400">
        <v>25</v>
      </c>
    </row>
    <row r="270" spans="18:23" ht="15" customHeight="1" hidden="1">
      <c r="R270" s="398">
        <v>200</v>
      </c>
      <c r="S270" s="398" t="s">
        <v>267</v>
      </c>
      <c r="T270" s="398" t="s">
        <v>287</v>
      </c>
      <c r="U270" s="399">
        <v>10</v>
      </c>
      <c r="V270" s="400">
        <v>20</v>
      </c>
      <c r="W270" s="400">
        <v>25</v>
      </c>
    </row>
    <row r="271" spans="18:23" ht="15" customHeight="1" hidden="1">
      <c r="R271" s="398">
        <v>201</v>
      </c>
      <c r="S271" s="398" t="s">
        <v>271</v>
      </c>
      <c r="T271" s="398" t="s">
        <v>287</v>
      </c>
      <c r="U271" s="399">
        <v>10</v>
      </c>
      <c r="V271" s="400">
        <v>25</v>
      </c>
      <c r="W271" s="400">
        <v>25</v>
      </c>
    </row>
    <row r="272" spans="18:23" ht="15" customHeight="1" hidden="1">
      <c r="R272" s="398">
        <v>202</v>
      </c>
      <c r="S272" s="398" t="s">
        <v>256</v>
      </c>
      <c r="T272" s="398" t="s">
        <v>287</v>
      </c>
      <c r="U272" s="399">
        <v>10</v>
      </c>
      <c r="V272" s="400">
        <v>25</v>
      </c>
      <c r="W272" s="400">
        <v>25</v>
      </c>
    </row>
    <row r="273" spans="18:23" ht="15" customHeight="1" hidden="1">
      <c r="R273" s="398">
        <v>203</v>
      </c>
      <c r="S273" s="398" t="s">
        <v>255</v>
      </c>
      <c r="T273" s="398" t="s">
        <v>287</v>
      </c>
      <c r="U273" s="399">
        <v>10</v>
      </c>
      <c r="V273" s="400">
        <v>25</v>
      </c>
      <c r="W273" s="400">
        <v>25</v>
      </c>
    </row>
    <row r="274" spans="18:23" ht="15" customHeight="1" hidden="1">
      <c r="R274" s="398">
        <v>204</v>
      </c>
      <c r="S274" s="398" t="s">
        <v>265</v>
      </c>
      <c r="T274" s="398" t="s">
        <v>287</v>
      </c>
      <c r="U274" s="399">
        <v>10</v>
      </c>
      <c r="V274" s="400">
        <v>25</v>
      </c>
      <c r="W274" s="400">
        <v>25</v>
      </c>
    </row>
    <row r="275" spans="18:23" ht="15" customHeight="1" hidden="1">
      <c r="R275" s="398">
        <v>205</v>
      </c>
      <c r="S275" s="398" t="s">
        <v>257</v>
      </c>
      <c r="T275" s="398" t="s">
        <v>287</v>
      </c>
      <c r="U275" s="399">
        <v>10</v>
      </c>
      <c r="V275" s="400">
        <v>25</v>
      </c>
      <c r="W275" s="400">
        <v>25</v>
      </c>
    </row>
    <row r="276" spans="18:23" ht="15" customHeight="1" hidden="1">
      <c r="R276" s="398">
        <v>206</v>
      </c>
      <c r="S276" s="398" t="s">
        <v>262</v>
      </c>
      <c r="T276" s="398" t="s">
        <v>287</v>
      </c>
      <c r="U276" s="399">
        <v>10</v>
      </c>
      <c r="V276" s="400">
        <v>20</v>
      </c>
      <c r="W276" s="400">
        <v>25</v>
      </c>
    </row>
    <row r="277" spans="18:23" ht="15" customHeight="1" hidden="1">
      <c r="R277" s="398">
        <v>207</v>
      </c>
      <c r="S277" s="398" t="s">
        <v>270</v>
      </c>
      <c r="T277" s="398" t="s">
        <v>287</v>
      </c>
      <c r="U277" s="399">
        <v>10</v>
      </c>
      <c r="V277" s="400">
        <v>20</v>
      </c>
      <c r="W277" s="400">
        <v>25</v>
      </c>
    </row>
    <row r="278" spans="18:23" ht="15" customHeight="1" hidden="1">
      <c r="R278" s="398">
        <v>208</v>
      </c>
      <c r="S278" s="398" t="s">
        <v>261</v>
      </c>
      <c r="T278" s="398" t="s">
        <v>287</v>
      </c>
      <c r="U278" s="399">
        <v>10</v>
      </c>
      <c r="V278" s="400">
        <v>20</v>
      </c>
      <c r="W278" s="400">
        <v>25</v>
      </c>
    </row>
    <row r="279" spans="18:23" ht="15" customHeight="1" hidden="1">
      <c r="R279" s="398">
        <v>209</v>
      </c>
      <c r="S279" s="398" t="s">
        <v>268</v>
      </c>
      <c r="T279" s="398" t="s">
        <v>287</v>
      </c>
      <c r="U279" s="399">
        <v>10</v>
      </c>
      <c r="V279" s="400">
        <v>20</v>
      </c>
      <c r="W279" s="400">
        <v>25</v>
      </c>
    </row>
    <row r="280" spans="18:23" ht="15" customHeight="1" hidden="1">
      <c r="R280" s="398">
        <v>210</v>
      </c>
      <c r="S280" s="398" t="s">
        <v>269</v>
      </c>
      <c r="T280" s="398" t="s">
        <v>287</v>
      </c>
      <c r="U280" s="399">
        <v>10</v>
      </c>
      <c r="V280" s="400">
        <v>25</v>
      </c>
      <c r="W280" s="400">
        <v>25</v>
      </c>
    </row>
    <row r="281" spans="18:23" ht="15" customHeight="1" hidden="1">
      <c r="R281" s="398">
        <v>211</v>
      </c>
      <c r="S281" s="398" t="s">
        <v>263</v>
      </c>
      <c r="T281" s="398" t="s">
        <v>287</v>
      </c>
      <c r="U281" s="399">
        <v>10</v>
      </c>
      <c r="V281" s="400">
        <v>25</v>
      </c>
      <c r="W281" s="400">
        <v>25</v>
      </c>
    </row>
    <row r="282" spans="18:23" ht="15" customHeight="1" hidden="1">
      <c r="R282" s="398">
        <v>212</v>
      </c>
      <c r="S282" s="398" t="s">
        <v>264</v>
      </c>
      <c r="T282" s="398" t="s">
        <v>287</v>
      </c>
      <c r="U282" s="399">
        <v>10</v>
      </c>
      <c r="V282" s="400">
        <v>25</v>
      </c>
      <c r="W282" s="400">
        <v>25</v>
      </c>
    </row>
    <row r="283" spans="18:23" ht="15" customHeight="1" hidden="1">
      <c r="R283" s="398">
        <v>213</v>
      </c>
      <c r="S283" s="398" t="s">
        <v>254</v>
      </c>
      <c r="T283" s="398" t="s">
        <v>287</v>
      </c>
      <c r="U283" s="399">
        <v>10</v>
      </c>
      <c r="V283" s="400">
        <v>25</v>
      </c>
      <c r="W283" s="400">
        <v>25</v>
      </c>
    </row>
    <row r="284" spans="18:23" ht="15" customHeight="1" hidden="1">
      <c r="R284" s="398">
        <v>214</v>
      </c>
      <c r="S284" s="398" t="s">
        <v>259</v>
      </c>
      <c r="T284" s="398" t="s">
        <v>287</v>
      </c>
      <c r="U284" s="399">
        <v>10</v>
      </c>
      <c r="V284" s="400">
        <v>25</v>
      </c>
      <c r="W284" s="400">
        <v>25</v>
      </c>
    </row>
    <row r="285" spans="18:23" ht="15" customHeight="1" hidden="1">
      <c r="R285" s="398">
        <v>215</v>
      </c>
      <c r="S285" s="398" t="s">
        <v>266</v>
      </c>
      <c r="T285" s="398" t="s">
        <v>287</v>
      </c>
      <c r="U285" s="399">
        <v>10</v>
      </c>
      <c r="V285" s="400">
        <v>25</v>
      </c>
      <c r="W285" s="400">
        <v>25</v>
      </c>
    </row>
    <row r="286" spans="18:23" ht="15" customHeight="1" hidden="1">
      <c r="R286" s="398">
        <v>216</v>
      </c>
      <c r="S286" s="398" t="s">
        <v>260</v>
      </c>
      <c r="T286" s="398" t="s">
        <v>287</v>
      </c>
      <c r="U286" s="399">
        <v>10</v>
      </c>
      <c r="V286" s="400">
        <v>25</v>
      </c>
      <c r="W286" s="400">
        <v>25</v>
      </c>
    </row>
    <row r="287" spans="18:23" ht="15" customHeight="1" hidden="1">
      <c r="R287" s="398">
        <v>217</v>
      </c>
      <c r="S287" s="398" t="s">
        <v>258</v>
      </c>
      <c r="T287" s="398" t="s">
        <v>288</v>
      </c>
      <c r="U287" s="399">
        <v>10</v>
      </c>
      <c r="V287" s="400">
        <v>30</v>
      </c>
      <c r="W287" s="400">
        <v>35</v>
      </c>
    </row>
    <row r="288" spans="18:23" ht="15" customHeight="1" hidden="1">
      <c r="R288" s="398">
        <v>218</v>
      </c>
      <c r="S288" s="398" t="s">
        <v>267</v>
      </c>
      <c r="T288" s="398" t="s">
        <v>288</v>
      </c>
      <c r="U288" s="399">
        <v>10</v>
      </c>
      <c r="V288" s="400">
        <v>30</v>
      </c>
      <c r="W288" s="400">
        <v>35</v>
      </c>
    </row>
    <row r="289" spans="18:23" ht="15" customHeight="1" hidden="1">
      <c r="R289" s="398">
        <v>219</v>
      </c>
      <c r="S289" s="398" t="s">
        <v>271</v>
      </c>
      <c r="T289" s="398" t="s">
        <v>288</v>
      </c>
      <c r="U289" s="399">
        <v>10</v>
      </c>
      <c r="V289" s="400">
        <v>35</v>
      </c>
      <c r="W289" s="400">
        <v>35</v>
      </c>
    </row>
    <row r="290" spans="18:23" ht="15" customHeight="1" hidden="1">
      <c r="R290" s="398">
        <v>220</v>
      </c>
      <c r="S290" s="398" t="s">
        <v>256</v>
      </c>
      <c r="T290" s="398" t="s">
        <v>288</v>
      </c>
      <c r="U290" s="399">
        <v>10</v>
      </c>
      <c r="V290" s="400">
        <v>35</v>
      </c>
      <c r="W290" s="400">
        <v>35</v>
      </c>
    </row>
    <row r="291" spans="18:23" ht="15" customHeight="1" hidden="1">
      <c r="R291" s="398">
        <v>221</v>
      </c>
      <c r="S291" s="398" t="s">
        <v>255</v>
      </c>
      <c r="T291" s="398" t="s">
        <v>288</v>
      </c>
      <c r="U291" s="399">
        <v>10</v>
      </c>
      <c r="V291" s="400">
        <v>35</v>
      </c>
      <c r="W291" s="400">
        <v>35</v>
      </c>
    </row>
    <row r="292" spans="18:23" ht="15" customHeight="1" hidden="1">
      <c r="R292" s="398">
        <v>222</v>
      </c>
      <c r="S292" s="398" t="s">
        <v>265</v>
      </c>
      <c r="T292" s="398" t="s">
        <v>288</v>
      </c>
      <c r="U292" s="399">
        <v>10</v>
      </c>
      <c r="V292" s="400">
        <v>35</v>
      </c>
      <c r="W292" s="400">
        <v>35</v>
      </c>
    </row>
    <row r="293" spans="18:23" ht="15" customHeight="1" hidden="1">
      <c r="R293" s="398">
        <v>223</v>
      </c>
      <c r="S293" s="398" t="s">
        <v>257</v>
      </c>
      <c r="T293" s="398" t="s">
        <v>288</v>
      </c>
      <c r="U293" s="399">
        <v>10</v>
      </c>
      <c r="V293" s="400">
        <v>35</v>
      </c>
      <c r="W293" s="400">
        <v>35</v>
      </c>
    </row>
    <row r="294" spans="18:23" ht="15" customHeight="1" hidden="1">
      <c r="R294" s="398">
        <v>224</v>
      </c>
      <c r="S294" s="398" t="s">
        <v>262</v>
      </c>
      <c r="T294" s="398" t="s">
        <v>288</v>
      </c>
      <c r="U294" s="399">
        <v>10</v>
      </c>
      <c r="V294" s="400">
        <v>30</v>
      </c>
      <c r="W294" s="400">
        <v>35</v>
      </c>
    </row>
    <row r="295" spans="18:23" ht="15" customHeight="1" hidden="1">
      <c r="R295" s="398">
        <v>225</v>
      </c>
      <c r="S295" s="398" t="s">
        <v>270</v>
      </c>
      <c r="T295" s="398" t="s">
        <v>288</v>
      </c>
      <c r="U295" s="399">
        <v>10</v>
      </c>
      <c r="V295" s="400">
        <v>30</v>
      </c>
      <c r="W295" s="400">
        <v>35</v>
      </c>
    </row>
    <row r="296" spans="18:23" ht="15" customHeight="1" hidden="1">
      <c r="R296" s="398">
        <v>226</v>
      </c>
      <c r="S296" s="398" t="s">
        <v>261</v>
      </c>
      <c r="T296" s="398" t="s">
        <v>288</v>
      </c>
      <c r="U296" s="399">
        <v>10</v>
      </c>
      <c r="V296" s="400">
        <v>30</v>
      </c>
      <c r="W296" s="400">
        <v>35</v>
      </c>
    </row>
    <row r="297" spans="18:23" ht="15" customHeight="1" hidden="1">
      <c r="R297" s="398">
        <v>227</v>
      </c>
      <c r="S297" s="398" t="s">
        <v>268</v>
      </c>
      <c r="T297" s="398" t="s">
        <v>288</v>
      </c>
      <c r="U297" s="399">
        <v>10</v>
      </c>
      <c r="V297" s="400">
        <v>30</v>
      </c>
      <c r="W297" s="400">
        <v>35</v>
      </c>
    </row>
    <row r="298" spans="18:23" ht="15" customHeight="1" hidden="1">
      <c r="R298" s="398">
        <v>228</v>
      </c>
      <c r="S298" s="398" t="s">
        <v>269</v>
      </c>
      <c r="T298" s="398" t="s">
        <v>288</v>
      </c>
      <c r="U298" s="399">
        <v>10</v>
      </c>
      <c r="V298" s="400">
        <v>35</v>
      </c>
      <c r="W298" s="400">
        <v>35</v>
      </c>
    </row>
    <row r="299" spans="18:23" ht="15" customHeight="1" hidden="1">
      <c r="R299" s="398">
        <v>229</v>
      </c>
      <c r="S299" s="398" t="s">
        <v>263</v>
      </c>
      <c r="T299" s="398" t="s">
        <v>288</v>
      </c>
      <c r="U299" s="399">
        <v>10</v>
      </c>
      <c r="V299" s="400">
        <v>35</v>
      </c>
      <c r="W299" s="400">
        <v>35</v>
      </c>
    </row>
    <row r="300" spans="18:23" ht="15" customHeight="1" hidden="1">
      <c r="R300" s="398">
        <v>230</v>
      </c>
      <c r="S300" s="398" t="s">
        <v>264</v>
      </c>
      <c r="T300" s="398" t="s">
        <v>288</v>
      </c>
      <c r="U300" s="399">
        <v>10</v>
      </c>
      <c r="V300" s="400">
        <v>35</v>
      </c>
      <c r="W300" s="400">
        <v>35</v>
      </c>
    </row>
    <row r="301" spans="18:23" ht="15" customHeight="1" hidden="1">
      <c r="R301" s="398">
        <v>231</v>
      </c>
      <c r="S301" s="398" t="s">
        <v>254</v>
      </c>
      <c r="T301" s="398" t="s">
        <v>288</v>
      </c>
      <c r="U301" s="399">
        <v>10</v>
      </c>
      <c r="V301" s="400">
        <v>35</v>
      </c>
      <c r="W301" s="400">
        <v>35</v>
      </c>
    </row>
    <row r="302" spans="18:23" ht="15" customHeight="1" hidden="1">
      <c r="R302" s="398">
        <v>232</v>
      </c>
      <c r="S302" s="398" t="s">
        <v>259</v>
      </c>
      <c r="T302" s="398" t="s">
        <v>288</v>
      </c>
      <c r="U302" s="399">
        <v>10</v>
      </c>
      <c r="V302" s="400">
        <v>35</v>
      </c>
      <c r="W302" s="400">
        <v>35</v>
      </c>
    </row>
    <row r="303" spans="18:23" ht="15" customHeight="1" hidden="1">
      <c r="R303" s="398">
        <v>233</v>
      </c>
      <c r="S303" s="398" t="s">
        <v>266</v>
      </c>
      <c r="T303" s="398" t="s">
        <v>288</v>
      </c>
      <c r="U303" s="399">
        <v>10</v>
      </c>
      <c r="V303" s="400">
        <v>40</v>
      </c>
      <c r="W303" s="400">
        <v>35</v>
      </c>
    </row>
    <row r="304" spans="18:23" ht="15" customHeight="1" hidden="1">
      <c r="R304" s="398">
        <v>234</v>
      </c>
      <c r="S304" s="398" t="s">
        <v>260</v>
      </c>
      <c r="T304" s="398" t="s">
        <v>288</v>
      </c>
      <c r="U304" s="399">
        <v>10</v>
      </c>
      <c r="V304" s="400">
        <v>40</v>
      </c>
      <c r="W304" s="400">
        <v>35</v>
      </c>
    </row>
    <row r="305" spans="18:23" ht="15" customHeight="1" hidden="1">
      <c r="R305" s="398">
        <v>235</v>
      </c>
      <c r="S305" s="398" t="s">
        <v>258</v>
      </c>
      <c r="T305" s="398" t="s">
        <v>289</v>
      </c>
      <c r="U305" s="399">
        <v>10</v>
      </c>
      <c r="V305" s="400">
        <v>15</v>
      </c>
      <c r="W305" s="400">
        <v>20</v>
      </c>
    </row>
    <row r="306" spans="18:23" ht="15" customHeight="1" hidden="1">
      <c r="R306" s="398">
        <v>236</v>
      </c>
      <c r="S306" s="398" t="s">
        <v>267</v>
      </c>
      <c r="T306" s="398" t="s">
        <v>289</v>
      </c>
      <c r="U306" s="399">
        <v>10</v>
      </c>
      <c r="V306" s="400">
        <v>15</v>
      </c>
      <c r="W306" s="400">
        <v>20</v>
      </c>
    </row>
    <row r="307" spans="18:23" ht="15" customHeight="1" hidden="1">
      <c r="R307" s="398">
        <v>237</v>
      </c>
      <c r="S307" s="398" t="s">
        <v>271</v>
      </c>
      <c r="T307" s="398" t="s">
        <v>289</v>
      </c>
      <c r="U307" s="399">
        <v>10</v>
      </c>
      <c r="V307" s="400">
        <v>25</v>
      </c>
      <c r="W307" s="400">
        <v>25</v>
      </c>
    </row>
    <row r="308" spans="18:23" ht="15" customHeight="1" hidden="1">
      <c r="R308" s="398">
        <v>238</v>
      </c>
      <c r="S308" s="398" t="s">
        <v>256</v>
      </c>
      <c r="T308" s="398" t="s">
        <v>289</v>
      </c>
      <c r="U308" s="399">
        <v>10</v>
      </c>
      <c r="V308" s="400">
        <v>25</v>
      </c>
      <c r="W308" s="400">
        <v>25</v>
      </c>
    </row>
    <row r="309" spans="18:23" ht="15" customHeight="1" hidden="1">
      <c r="R309" s="398">
        <v>239</v>
      </c>
      <c r="S309" s="398" t="s">
        <v>255</v>
      </c>
      <c r="T309" s="398" t="s">
        <v>289</v>
      </c>
      <c r="U309" s="399">
        <v>10</v>
      </c>
      <c r="V309" s="400">
        <v>25</v>
      </c>
      <c r="W309" s="400">
        <v>25</v>
      </c>
    </row>
    <row r="310" spans="18:23" ht="15" customHeight="1" hidden="1">
      <c r="R310" s="398">
        <v>240</v>
      </c>
      <c r="S310" s="398" t="s">
        <v>265</v>
      </c>
      <c r="T310" s="398" t="s">
        <v>289</v>
      </c>
      <c r="U310" s="399">
        <v>10</v>
      </c>
      <c r="V310" s="400">
        <v>25</v>
      </c>
      <c r="W310" s="400">
        <v>25</v>
      </c>
    </row>
    <row r="311" spans="18:23" ht="15" customHeight="1" hidden="1">
      <c r="R311" s="398">
        <v>241</v>
      </c>
      <c r="S311" s="398" t="s">
        <v>257</v>
      </c>
      <c r="T311" s="398" t="s">
        <v>289</v>
      </c>
      <c r="U311" s="399">
        <v>10</v>
      </c>
      <c r="V311" s="400">
        <v>25</v>
      </c>
      <c r="W311" s="400">
        <v>25</v>
      </c>
    </row>
    <row r="312" spans="18:23" ht="15" customHeight="1" hidden="1">
      <c r="R312" s="398">
        <v>242</v>
      </c>
      <c r="S312" s="398" t="s">
        <v>262</v>
      </c>
      <c r="T312" s="398" t="s">
        <v>289</v>
      </c>
      <c r="U312" s="399">
        <v>10</v>
      </c>
      <c r="V312" s="400">
        <v>20</v>
      </c>
      <c r="W312" s="400">
        <v>20</v>
      </c>
    </row>
    <row r="313" spans="18:23" ht="15" customHeight="1" hidden="1">
      <c r="R313" s="398">
        <v>243</v>
      </c>
      <c r="S313" s="398" t="s">
        <v>270</v>
      </c>
      <c r="T313" s="398" t="s">
        <v>289</v>
      </c>
      <c r="U313" s="399">
        <v>10</v>
      </c>
      <c r="V313" s="400">
        <v>20</v>
      </c>
      <c r="W313" s="400">
        <v>20</v>
      </c>
    </row>
    <row r="314" spans="18:23" ht="15" customHeight="1" hidden="1">
      <c r="R314" s="398">
        <v>244</v>
      </c>
      <c r="S314" s="398" t="s">
        <v>261</v>
      </c>
      <c r="T314" s="398" t="s">
        <v>289</v>
      </c>
      <c r="U314" s="399">
        <v>10</v>
      </c>
      <c r="V314" s="400">
        <v>20</v>
      </c>
      <c r="W314" s="400">
        <v>20</v>
      </c>
    </row>
    <row r="315" spans="18:23" ht="15" customHeight="1" hidden="1">
      <c r="R315" s="398">
        <v>245</v>
      </c>
      <c r="S315" s="398" t="s">
        <v>268</v>
      </c>
      <c r="T315" s="398" t="s">
        <v>289</v>
      </c>
      <c r="U315" s="399">
        <v>10</v>
      </c>
      <c r="V315" s="400">
        <v>25</v>
      </c>
      <c r="W315" s="400">
        <v>25</v>
      </c>
    </row>
    <row r="316" spans="18:23" ht="15" customHeight="1" hidden="1">
      <c r="R316" s="398">
        <v>246</v>
      </c>
      <c r="S316" s="398" t="s">
        <v>269</v>
      </c>
      <c r="T316" s="398" t="s">
        <v>289</v>
      </c>
      <c r="U316" s="399">
        <v>10</v>
      </c>
      <c r="V316" s="400">
        <v>25</v>
      </c>
      <c r="W316" s="400">
        <v>25</v>
      </c>
    </row>
    <row r="317" spans="18:23" ht="15" customHeight="1" hidden="1">
      <c r="R317" s="398">
        <v>247</v>
      </c>
      <c r="S317" s="398" t="s">
        <v>263</v>
      </c>
      <c r="T317" s="398" t="s">
        <v>289</v>
      </c>
      <c r="U317" s="399">
        <v>10</v>
      </c>
      <c r="V317" s="400">
        <v>25</v>
      </c>
      <c r="W317" s="400">
        <v>25</v>
      </c>
    </row>
    <row r="318" spans="18:23" ht="15" customHeight="1" hidden="1">
      <c r="R318" s="398">
        <v>248</v>
      </c>
      <c r="S318" s="398" t="s">
        <v>264</v>
      </c>
      <c r="T318" s="398" t="s">
        <v>289</v>
      </c>
      <c r="U318" s="399">
        <v>10</v>
      </c>
      <c r="V318" s="400">
        <v>25</v>
      </c>
      <c r="W318" s="400">
        <v>25</v>
      </c>
    </row>
    <row r="319" spans="18:23" ht="15" customHeight="1" hidden="1">
      <c r="R319" s="398">
        <v>249</v>
      </c>
      <c r="S319" s="398" t="s">
        <v>254</v>
      </c>
      <c r="T319" s="398" t="s">
        <v>289</v>
      </c>
      <c r="U319" s="399">
        <v>10</v>
      </c>
      <c r="V319" s="400">
        <v>25</v>
      </c>
      <c r="W319" s="400">
        <v>25</v>
      </c>
    </row>
    <row r="320" spans="18:23" ht="15" customHeight="1" hidden="1">
      <c r="R320" s="398">
        <v>250</v>
      </c>
      <c r="S320" s="398" t="s">
        <v>259</v>
      </c>
      <c r="T320" s="398" t="s">
        <v>289</v>
      </c>
      <c r="U320" s="399">
        <v>10</v>
      </c>
      <c r="V320" s="400">
        <v>25</v>
      </c>
      <c r="W320" s="400">
        <v>25</v>
      </c>
    </row>
    <row r="321" spans="18:23" ht="15" customHeight="1" hidden="1">
      <c r="R321" s="398">
        <v>251</v>
      </c>
      <c r="S321" s="398" t="s">
        <v>266</v>
      </c>
      <c r="T321" s="398" t="s">
        <v>289</v>
      </c>
      <c r="U321" s="399">
        <v>10</v>
      </c>
      <c r="V321" s="400">
        <v>25</v>
      </c>
      <c r="W321" s="400">
        <v>25</v>
      </c>
    </row>
    <row r="322" spans="18:23" ht="15" customHeight="1" hidden="1">
      <c r="R322" s="398">
        <v>252</v>
      </c>
      <c r="S322" s="398" t="s">
        <v>260</v>
      </c>
      <c r="T322" s="398" t="s">
        <v>289</v>
      </c>
      <c r="U322" s="399">
        <v>10</v>
      </c>
      <c r="V322" s="400">
        <v>25</v>
      </c>
      <c r="W322" s="400">
        <v>25</v>
      </c>
    </row>
    <row r="323" spans="18:23" ht="15" customHeight="1" hidden="1">
      <c r="R323" s="398">
        <v>253</v>
      </c>
      <c r="S323" s="398" t="s">
        <v>258</v>
      </c>
      <c r="T323" s="398" t="s">
        <v>290</v>
      </c>
      <c r="U323" s="399">
        <v>40</v>
      </c>
      <c r="V323" s="400">
        <v>40</v>
      </c>
      <c r="W323" s="400">
        <v>30</v>
      </c>
    </row>
    <row r="324" spans="18:23" ht="15" customHeight="1" hidden="1">
      <c r="R324" s="398">
        <v>254</v>
      </c>
      <c r="S324" s="398" t="s">
        <v>267</v>
      </c>
      <c r="T324" s="398" t="s">
        <v>290</v>
      </c>
      <c r="U324" s="399">
        <v>40</v>
      </c>
      <c r="V324" s="400">
        <v>40</v>
      </c>
      <c r="W324" s="400">
        <v>30</v>
      </c>
    </row>
    <row r="325" spans="18:23" ht="15" customHeight="1" hidden="1">
      <c r="R325" s="398">
        <v>255</v>
      </c>
      <c r="S325" s="398" t="s">
        <v>271</v>
      </c>
      <c r="T325" s="398" t="s">
        <v>290</v>
      </c>
      <c r="U325" s="399">
        <v>40</v>
      </c>
      <c r="V325" s="400">
        <v>40</v>
      </c>
      <c r="W325" s="400">
        <v>30</v>
      </c>
    </row>
    <row r="326" spans="18:23" ht="15" customHeight="1" hidden="1">
      <c r="R326" s="398">
        <v>256</v>
      </c>
      <c r="S326" s="398" t="s">
        <v>256</v>
      </c>
      <c r="T326" s="398" t="s">
        <v>290</v>
      </c>
      <c r="U326" s="399">
        <v>40</v>
      </c>
      <c r="V326" s="400">
        <v>50</v>
      </c>
      <c r="W326" s="400">
        <v>30</v>
      </c>
    </row>
    <row r="327" spans="18:23" ht="15" customHeight="1" hidden="1">
      <c r="R327" s="398">
        <v>257</v>
      </c>
      <c r="S327" s="398" t="s">
        <v>255</v>
      </c>
      <c r="T327" s="398" t="s">
        <v>290</v>
      </c>
      <c r="U327" s="399">
        <v>40</v>
      </c>
      <c r="V327" s="400">
        <v>40</v>
      </c>
      <c r="W327" s="400">
        <v>30</v>
      </c>
    </row>
    <row r="328" spans="18:23" ht="15" customHeight="1" hidden="1">
      <c r="R328" s="398">
        <v>258</v>
      </c>
      <c r="S328" s="398" t="s">
        <v>265</v>
      </c>
      <c r="T328" s="398" t="s">
        <v>290</v>
      </c>
      <c r="U328" s="399">
        <v>40</v>
      </c>
      <c r="V328" s="400">
        <v>40</v>
      </c>
      <c r="W328" s="400">
        <v>30</v>
      </c>
    </row>
    <row r="329" spans="18:23" ht="15" customHeight="1" hidden="1">
      <c r="R329" s="398">
        <v>259</v>
      </c>
      <c r="S329" s="398" t="s">
        <v>257</v>
      </c>
      <c r="T329" s="398" t="s">
        <v>290</v>
      </c>
      <c r="U329" s="399">
        <v>40</v>
      </c>
      <c r="V329" s="400">
        <v>40</v>
      </c>
      <c r="W329" s="400">
        <v>30</v>
      </c>
    </row>
    <row r="330" spans="18:23" ht="15" customHeight="1" hidden="1">
      <c r="R330" s="398">
        <v>260</v>
      </c>
      <c r="S330" s="398" t="s">
        <v>262</v>
      </c>
      <c r="T330" s="398" t="s">
        <v>290</v>
      </c>
      <c r="U330" s="399">
        <v>40</v>
      </c>
      <c r="V330" s="400">
        <v>40</v>
      </c>
      <c r="W330" s="400">
        <v>30</v>
      </c>
    </row>
    <row r="331" spans="18:23" ht="15" customHeight="1" hidden="1">
      <c r="R331" s="398">
        <v>261</v>
      </c>
      <c r="S331" s="398" t="s">
        <v>270</v>
      </c>
      <c r="T331" s="398" t="s">
        <v>290</v>
      </c>
      <c r="U331" s="399">
        <v>40</v>
      </c>
      <c r="V331" s="400">
        <v>40</v>
      </c>
      <c r="W331" s="400">
        <v>30</v>
      </c>
    </row>
    <row r="332" spans="18:23" ht="15" customHeight="1" hidden="1">
      <c r="R332" s="398">
        <v>262</v>
      </c>
      <c r="S332" s="398" t="s">
        <v>261</v>
      </c>
      <c r="T332" s="398" t="s">
        <v>290</v>
      </c>
      <c r="U332" s="399">
        <v>40</v>
      </c>
      <c r="V332" s="400">
        <v>40</v>
      </c>
      <c r="W332" s="400">
        <v>30</v>
      </c>
    </row>
    <row r="333" spans="18:23" ht="15" customHeight="1" hidden="1">
      <c r="R333" s="398">
        <v>263</v>
      </c>
      <c r="S333" s="398" t="s">
        <v>268</v>
      </c>
      <c r="T333" s="398" t="s">
        <v>290</v>
      </c>
      <c r="U333" s="399">
        <v>40</v>
      </c>
      <c r="V333" s="400">
        <v>40</v>
      </c>
      <c r="W333" s="400">
        <v>30</v>
      </c>
    </row>
    <row r="334" spans="18:23" ht="15" customHeight="1" hidden="1">
      <c r="R334" s="398">
        <v>264</v>
      </c>
      <c r="S334" s="398" t="s">
        <v>269</v>
      </c>
      <c r="T334" s="398" t="s">
        <v>290</v>
      </c>
      <c r="U334" s="399">
        <v>40</v>
      </c>
      <c r="V334" s="400">
        <v>40</v>
      </c>
      <c r="W334" s="400">
        <v>30</v>
      </c>
    </row>
    <row r="335" spans="18:23" ht="15" customHeight="1" hidden="1">
      <c r="R335" s="398">
        <v>265</v>
      </c>
      <c r="S335" s="398" t="s">
        <v>263</v>
      </c>
      <c r="T335" s="398" t="s">
        <v>290</v>
      </c>
      <c r="U335" s="399">
        <v>40</v>
      </c>
      <c r="V335" s="400">
        <v>40</v>
      </c>
      <c r="W335" s="400">
        <v>30</v>
      </c>
    </row>
    <row r="336" spans="18:23" ht="15" customHeight="1" hidden="1">
      <c r="R336" s="398">
        <v>266</v>
      </c>
      <c r="S336" s="398" t="s">
        <v>264</v>
      </c>
      <c r="T336" s="398" t="s">
        <v>290</v>
      </c>
      <c r="U336" s="399">
        <v>40</v>
      </c>
      <c r="V336" s="400">
        <v>40</v>
      </c>
      <c r="W336" s="400">
        <v>30</v>
      </c>
    </row>
    <row r="337" spans="18:23" ht="15" customHeight="1" hidden="1">
      <c r="R337" s="398">
        <v>267</v>
      </c>
      <c r="S337" s="398" t="s">
        <v>254</v>
      </c>
      <c r="T337" s="398" t="s">
        <v>290</v>
      </c>
      <c r="U337" s="399">
        <v>40</v>
      </c>
      <c r="V337" s="400">
        <v>40</v>
      </c>
      <c r="W337" s="400">
        <v>30</v>
      </c>
    </row>
    <row r="338" spans="18:23" ht="15" customHeight="1" hidden="1">
      <c r="R338" s="398">
        <v>268</v>
      </c>
      <c r="S338" s="398" t="s">
        <v>259</v>
      </c>
      <c r="T338" s="398" t="s">
        <v>290</v>
      </c>
      <c r="U338" s="399">
        <v>40</v>
      </c>
      <c r="V338" s="400">
        <v>40</v>
      </c>
      <c r="W338" s="400">
        <v>30</v>
      </c>
    </row>
    <row r="339" spans="18:23" ht="15" customHeight="1" hidden="1">
      <c r="R339" s="398">
        <v>269</v>
      </c>
      <c r="S339" s="398" t="s">
        <v>266</v>
      </c>
      <c r="T339" s="398" t="s">
        <v>290</v>
      </c>
      <c r="U339" s="399">
        <v>40</v>
      </c>
      <c r="V339" s="400">
        <v>40</v>
      </c>
      <c r="W339" s="400">
        <v>30</v>
      </c>
    </row>
    <row r="340" spans="18:23" ht="15" customHeight="1" hidden="1">
      <c r="R340" s="398">
        <v>270</v>
      </c>
      <c r="S340" s="398" t="s">
        <v>260</v>
      </c>
      <c r="T340" s="398" t="s">
        <v>290</v>
      </c>
      <c r="U340" s="399">
        <v>40</v>
      </c>
      <c r="V340" s="400">
        <v>40</v>
      </c>
      <c r="W340" s="400">
        <v>30</v>
      </c>
    </row>
    <row r="341" spans="18:23" ht="15" customHeight="1" hidden="1">
      <c r="R341" s="398">
        <v>271</v>
      </c>
      <c r="S341" s="398" t="s">
        <v>258</v>
      </c>
      <c r="T341" s="398" t="s">
        <v>291</v>
      </c>
      <c r="U341" s="399">
        <v>10</v>
      </c>
      <c r="V341" s="400">
        <v>35</v>
      </c>
      <c r="W341" s="400">
        <v>35</v>
      </c>
    </row>
    <row r="342" spans="18:23" ht="15" customHeight="1" hidden="1">
      <c r="R342" s="398">
        <v>272</v>
      </c>
      <c r="S342" s="398" t="s">
        <v>267</v>
      </c>
      <c r="T342" s="398" t="s">
        <v>291</v>
      </c>
      <c r="U342" s="399">
        <v>10</v>
      </c>
      <c r="V342" s="400">
        <v>35</v>
      </c>
      <c r="W342" s="400">
        <v>35</v>
      </c>
    </row>
    <row r="343" spans="18:23" ht="15" customHeight="1" hidden="1">
      <c r="R343" s="398">
        <v>273</v>
      </c>
      <c r="S343" s="398" t="s">
        <v>271</v>
      </c>
      <c r="T343" s="398" t="s">
        <v>291</v>
      </c>
      <c r="U343" s="399">
        <v>10</v>
      </c>
      <c r="V343" s="400">
        <v>35</v>
      </c>
      <c r="W343" s="400">
        <v>35</v>
      </c>
    </row>
    <row r="344" spans="18:23" ht="15" customHeight="1" hidden="1">
      <c r="R344" s="398">
        <v>274</v>
      </c>
      <c r="S344" s="398" t="s">
        <v>256</v>
      </c>
      <c r="T344" s="398" t="s">
        <v>291</v>
      </c>
      <c r="U344" s="399">
        <v>10</v>
      </c>
      <c r="V344" s="400">
        <v>35</v>
      </c>
      <c r="W344" s="400">
        <v>35</v>
      </c>
    </row>
    <row r="345" spans="18:23" ht="15" customHeight="1" hidden="1">
      <c r="R345" s="398">
        <v>275</v>
      </c>
      <c r="S345" s="398" t="s">
        <v>255</v>
      </c>
      <c r="T345" s="398" t="s">
        <v>291</v>
      </c>
      <c r="U345" s="399">
        <v>10</v>
      </c>
      <c r="V345" s="400">
        <v>40</v>
      </c>
      <c r="W345" s="400">
        <v>35</v>
      </c>
    </row>
    <row r="346" spans="18:23" ht="15" customHeight="1" hidden="1">
      <c r="R346" s="398">
        <v>276</v>
      </c>
      <c r="S346" s="398" t="s">
        <v>265</v>
      </c>
      <c r="T346" s="398" t="s">
        <v>291</v>
      </c>
      <c r="U346" s="399">
        <v>10</v>
      </c>
      <c r="V346" s="400">
        <v>35</v>
      </c>
      <c r="W346" s="400">
        <v>35</v>
      </c>
    </row>
    <row r="347" spans="18:23" ht="15" customHeight="1" hidden="1">
      <c r="R347" s="398">
        <v>277</v>
      </c>
      <c r="S347" s="398" t="s">
        <v>257</v>
      </c>
      <c r="T347" s="398" t="s">
        <v>291</v>
      </c>
      <c r="U347" s="399">
        <v>10</v>
      </c>
      <c r="V347" s="400">
        <v>40</v>
      </c>
      <c r="W347" s="400">
        <v>35</v>
      </c>
    </row>
    <row r="348" spans="18:23" ht="15" customHeight="1" hidden="1">
      <c r="R348" s="398">
        <v>278</v>
      </c>
      <c r="S348" s="398" t="s">
        <v>262</v>
      </c>
      <c r="T348" s="398" t="s">
        <v>291</v>
      </c>
      <c r="U348" s="399">
        <v>10</v>
      </c>
      <c r="V348" s="400">
        <v>40</v>
      </c>
      <c r="W348" s="400">
        <v>35</v>
      </c>
    </row>
    <row r="349" spans="18:23" ht="15" customHeight="1" hidden="1">
      <c r="R349" s="398">
        <v>279</v>
      </c>
      <c r="S349" s="398" t="s">
        <v>270</v>
      </c>
      <c r="T349" s="398" t="s">
        <v>291</v>
      </c>
      <c r="U349" s="399">
        <v>10</v>
      </c>
      <c r="V349" s="400">
        <v>35</v>
      </c>
      <c r="W349" s="400">
        <v>35</v>
      </c>
    </row>
    <row r="350" spans="18:23" ht="15" customHeight="1" hidden="1">
      <c r="R350" s="398">
        <v>280</v>
      </c>
      <c r="S350" s="398" t="s">
        <v>261</v>
      </c>
      <c r="T350" s="398" t="s">
        <v>291</v>
      </c>
      <c r="U350" s="399">
        <v>10</v>
      </c>
      <c r="V350" s="400">
        <v>40</v>
      </c>
      <c r="W350" s="400">
        <v>35</v>
      </c>
    </row>
    <row r="351" spans="18:23" ht="15" customHeight="1" hidden="1">
      <c r="R351" s="398">
        <v>281</v>
      </c>
      <c r="S351" s="398" t="s">
        <v>268</v>
      </c>
      <c r="T351" s="398" t="s">
        <v>291</v>
      </c>
      <c r="U351" s="399">
        <v>10</v>
      </c>
      <c r="V351" s="400">
        <v>35</v>
      </c>
      <c r="W351" s="400">
        <v>35</v>
      </c>
    </row>
    <row r="352" spans="18:23" ht="15" customHeight="1" hidden="1">
      <c r="R352" s="398">
        <v>282</v>
      </c>
      <c r="S352" s="398" t="s">
        <v>269</v>
      </c>
      <c r="T352" s="398" t="s">
        <v>291</v>
      </c>
      <c r="U352" s="399">
        <v>10</v>
      </c>
      <c r="V352" s="400">
        <v>35</v>
      </c>
      <c r="W352" s="400">
        <v>35</v>
      </c>
    </row>
    <row r="353" spans="18:23" ht="15" customHeight="1" hidden="1">
      <c r="R353" s="398">
        <v>283</v>
      </c>
      <c r="S353" s="398" t="s">
        <v>263</v>
      </c>
      <c r="T353" s="398" t="s">
        <v>291</v>
      </c>
      <c r="U353" s="399">
        <v>10</v>
      </c>
      <c r="V353" s="400">
        <v>35</v>
      </c>
      <c r="W353" s="400">
        <v>35</v>
      </c>
    </row>
    <row r="354" spans="18:23" ht="15" customHeight="1" hidden="1">
      <c r="R354" s="398">
        <v>284</v>
      </c>
      <c r="S354" s="398" t="s">
        <v>264</v>
      </c>
      <c r="T354" s="398" t="s">
        <v>291</v>
      </c>
      <c r="U354" s="399">
        <v>10</v>
      </c>
      <c r="V354" s="400">
        <v>40</v>
      </c>
      <c r="W354" s="400">
        <v>35</v>
      </c>
    </row>
    <row r="355" spans="18:23" ht="15" customHeight="1" hidden="1">
      <c r="R355" s="398">
        <v>285</v>
      </c>
      <c r="S355" s="398" t="s">
        <v>254</v>
      </c>
      <c r="T355" s="398" t="s">
        <v>291</v>
      </c>
      <c r="U355" s="399">
        <v>10</v>
      </c>
      <c r="V355" s="400">
        <v>35</v>
      </c>
      <c r="W355" s="400">
        <v>35</v>
      </c>
    </row>
    <row r="356" spans="18:23" ht="15" customHeight="1" hidden="1">
      <c r="R356" s="398">
        <v>286</v>
      </c>
      <c r="S356" s="398" t="s">
        <v>259</v>
      </c>
      <c r="T356" s="398" t="s">
        <v>291</v>
      </c>
      <c r="U356" s="399">
        <v>10</v>
      </c>
      <c r="V356" s="400">
        <v>35</v>
      </c>
      <c r="W356" s="400">
        <v>35</v>
      </c>
    </row>
    <row r="357" spans="18:23" ht="15" customHeight="1" hidden="1">
      <c r="R357" s="398">
        <v>287</v>
      </c>
      <c r="S357" s="398" t="s">
        <v>266</v>
      </c>
      <c r="T357" s="398" t="s">
        <v>291</v>
      </c>
      <c r="U357" s="399">
        <v>10</v>
      </c>
      <c r="V357" s="400">
        <v>35</v>
      </c>
      <c r="W357" s="400">
        <v>35</v>
      </c>
    </row>
    <row r="358" spans="18:23" ht="15" customHeight="1" hidden="1">
      <c r="R358" s="398">
        <v>288</v>
      </c>
      <c r="S358" s="398" t="s">
        <v>260</v>
      </c>
      <c r="T358" s="398" t="s">
        <v>291</v>
      </c>
      <c r="U358" s="399">
        <v>10</v>
      </c>
      <c r="V358" s="400">
        <v>40</v>
      </c>
      <c r="W358" s="400">
        <v>35</v>
      </c>
    </row>
    <row r="359" spans="18:23" ht="15" customHeight="1" hidden="1">
      <c r="R359" s="398">
        <v>289</v>
      </c>
      <c r="S359" s="398" t="s">
        <v>258</v>
      </c>
      <c r="T359" s="398" t="s">
        <v>292</v>
      </c>
      <c r="U359" s="399">
        <v>10</v>
      </c>
      <c r="V359" s="400">
        <v>35</v>
      </c>
      <c r="W359" s="400">
        <v>35</v>
      </c>
    </row>
    <row r="360" spans="18:23" ht="15" customHeight="1" hidden="1">
      <c r="R360" s="398">
        <v>290</v>
      </c>
      <c r="S360" s="398" t="s">
        <v>267</v>
      </c>
      <c r="T360" s="398" t="s">
        <v>292</v>
      </c>
      <c r="U360" s="399">
        <v>10</v>
      </c>
      <c r="V360" s="400">
        <v>35</v>
      </c>
      <c r="W360" s="400">
        <v>35</v>
      </c>
    </row>
    <row r="361" spans="18:23" ht="15" customHeight="1" hidden="1">
      <c r="R361" s="398">
        <v>291</v>
      </c>
      <c r="S361" s="398" t="s">
        <v>271</v>
      </c>
      <c r="T361" s="398" t="s">
        <v>292</v>
      </c>
      <c r="U361" s="399">
        <v>10</v>
      </c>
      <c r="V361" s="400">
        <v>40</v>
      </c>
      <c r="W361" s="400">
        <v>35</v>
      </c>
    </row>
    <row r="362" spans="18:23" ht="15" customHeight="1" hidden="1">
      <c r="R362" s="398">
        <v>292</v>
      </c>
      <c r="S362" s="398" t="s">
        <v>256</v>
      </c>
      <c r="T362" s="398" t="s">
        <v>292</v>
      </c>
      <c r="U362" s="399">
        <v>10</v>
      </c>
      <c r="V362" s="400">
        <v>35</v>
      </c>
      <c r="W362" s="400">
        <v>35</v>
      </c>
    </row>
    <row r="363" spans="18:23" ht="15" customHeight="1" hidden="1">
      <c r="R363" s="398">
        <v>293</v>
      </c>
      <c r="S363" s="398" t="s">
        <v>255</v>
      </c>
      <c r="T363" s="398" t="s">
        <v>292</v>
      </c>
      <c r="U363" s="399">
        <v>10</v>
      </c>
      <c r="V363" s="400">
        <v>40</v>
      </c>
      <c r="W363" s="400">
        <v>35</v>
      </c>
    </row>
    <row r="364" spans="18:23" ht="15" customHeight="1" hidden="1">
      <c r="R364" s="398">
        <v>294</v>
      </c>
      <c r="S364" s="398" t="s">
        <v>265</v>
      </c>
      <c r="T364" s="398" t="s">
        <v>292</v>
      </c>
      <c r="U364" s="399">
        <v>10</v>
      </c>
      <c r="V364" s="400">
        <v>40</v>
      </c>
      <c r="W364" s="400">
        <v>35</v>
      </c>
    </row>
    <row r="365" spans="18:23" ht="15" customHeight="1" hidden="1">
      <c r="R365" s="398">
        <v>295</v>
      </c>
      <c r="S365" s="398" t="s">
        <v>257</v>
      </c>
      <c r="T365" s="398" t="s">
        <v>292</v>
      </c>
      <c r="U365" s="399">
        <v>10</v>
      </c>
      <c r="V365" s="400">
        <v>25</v>
      </c>
      <c r="W365" s="400">
        <v>35</v>
      </c>
    </row>
    <row r="366" spans="18:23" ht="15" customHeight="1" hidden="1">
      <c r="R366" s="398">
        <v>296</v>
      </c>
      <c r="S366" s="398" t="s">
        <v>262</v>
      </c>
      <c r="T366" s="398" t="s">
        <v>292</v>
      </c>
      <c r="U366" s="399">
        <v>10</v>
      </c>
      <c r="V366" s="400">
        <v>35</v>
      </c>
      <c r="W366" s="400">
        <v>35</v>
      </c>
    </row>
    <row r="367" spans="18:23" ht="15" customHeight="1" hidden="1">
      <c r="R367" s="398">
        <v>297</v>
      </c>
      <c r="S367" s="398" t="s">
        <v>270</v>
      </c>
      <c r="T367" s="398" t="s">
        <v>292</v>
      </c>
      <c r="U367" s="399">
        <v>10</v>
      </c>
      <c r="V367" s="400">
        <v>40</v>
      </c>
      <c r="W367" s="400">
        <v>35</v>
      </c>
    </row>
    <row r="368" spans="18:23" ht="15" customHeight="1" hidden="1">
      <c r="R368" s="398">
        <v>298</v>
      </c>
      <c r="S368" s="398" t="s">
        <v>261</v>
      </c>
      <c r="T368" s="398" t="s">
        <v>292</v>
      </c>
      <c r="U368" s="399">
        <v>10</v>
      </c>
      <c r="V368" s="400">
        <v>35</v>
      </c>
      <c r="W368" s="400">
        <v>35</v>
      </c>
    </row>
    <row r="369" spans="18:23" ht="15" customHeight="1" hidden="1">
      <c r="R369" s="398">
        <v>299</v>
      </c>
      <c r="S369" s="398" t="s">
        <v>268</v>
      </c>
      <c r="T369" s="398" t="s">
        <v>292</v>
      </c>
      <c r="U369" s="399">
        <v>10</v>
      </c>
      <c r="V369" s="400">
        <v>40</v>
      </c>
      <c r="W369" s="400">
        <v>35</v>
      </c>
    </row>
    <row r="370" spans="18:23" ht="15" customHeight="1" hidden="1">
      <c r="R370" s="398">
        <v>300</v>
      </c>
      <c r="S370" s="398" t="s">
        <v>269</v>
      </c>
      <c r="T370" s="398" t="s">
        <v>292</v>
      </c>
      <c r="U370" s="399">
        <v>10</v>
      </c>
      <c r="V370" s="400">
        <v>40</v>
      </c>
      <c r="W370" s="400">
        <v>35</v>
      </c>
    </row>
    <row r="371" spans="18:23" ht="15" customHeight="1" hidden="1">
      <c r="R371" s="398">
        <v>301</v>
      </c>
      <c r="S371" s="398" t="s">
        <v>263</v>
      </c>
      <c r="T371" s="398" t="s">
        <v>292</v>
      </c>
      <c r="U371" s="399">
        <v>10</v>
      </c>
      <c r="V371" s="400">
        <v>40</v>
      </c>
      <c r="W371" s="400">
        <v>35</v>
      </c>
    </row>
    <row r="372" spans="18:23" ht="15" customHeight="1" hidden="1">
      <c r="R372" s="398">
        <v>302</v>
      </c>
      <c r="S372" s="398" t="s">
        <v>264</v>
      </c>
      <c r="T372" s="398" t="s">
        <v>292</v>
      </c>
      <c r="U372" s="399">
        <v>10</v>
      </c>
      <c r="V372" s="400">
        <v>40</v>
      </c>
      <c r="W372" s="400">
        <v>35</v>
      </c>
    </row>
    <row r="373" spans="18:23" ht="15" customHeight="1" hidden="1">
      <c r="R373" s="398">
        <v>303</v>
      </c>
      <c r="S373" s="398" t="s">
        <v>254</v>
      </c>
      <c r="T373" s="398" t="s">
        <v>292</v>
      </c>
      <c r="U373" s="399">
        <v>10</v>
      </c>
      <c r="V373" s="400">
        <v>40</v>
      </c>
      <c r="W373" s="400">
        <v>35</v>
      </c>
    </row>
    <row r="374" spans="18:23" ht="15" customHeight="1" hidden="1">
      <c r="R374" s="398">
        <v>304</v>
      </c>
      <c r="S374" s="398" t="s">
        <v>259</v>
      </c>
      <c r="T374" s="398" t="s">
        <v>292</v>
      </c>
      <c r="U374" s="399">
        <v>10</v>
      </c>
      <c r="V374" s="400">
        <v>40</v>
      </c>
      <c r="W374" s="400">
        <v>35</v>
      </c>
    </row>
    <row r="375" spans="18:23" ht="15" customHeight="1" hidden="1">
      <c r="R375" s="398">
        <v>305</v>
      </c>
      <c r="S375" s="398" t="s">
        <v>266</v>
      </c>
      <c r="T375" s="398" t="s">
        <v>292</v>
      </c>
      <c r="U375" s="399">
        <v>10</v>
      </c>
      <c r="V375" s="400">
        <v>40</v>
      </c>
      <c r="W375" s="400">
        <v>35</v>
      </c>
    </row>
    <row r="376" spans="18:23" ht="15" customHeight="1" hidden="1">
      <c r="R376" s="398">
        <v>306</v>
      </c>
      <c r="S376" s="398" t="s">
        <v>260</v>
      </c>
      <c r="T376" s="398" t="s">
        <v>292</v>
      </c>
      <c r="U376" s="399">
        <v>10</v>
      </c>
      <c r="V376" s="400">
        <v>40</v>
      </c>
      <c r="W376" s="400">
        <v>35</v>
      </c>
    </row>
    <row r="377" spans="18:23" ht="15" customHeight="1" hidden="1">
      <c r="R377" s="398">
        <v>307</v>
      </c>
      <c r="S377" s="398" t="s">
        <v>258</v>
      </c>
      <c r="T377" s="398" t="s">
        <v>293</v>
      </c>
      <c r="U377" s="399">
        <v>20</v>
      </c>
      <c r="V377" s="400">
        <v>50</v>
      </c>
      <c r="W377" s="400">
        <v>45</v>
      </c>
    </row>
    <row r="378" spans="18:23" ht="15" customHeight="1" hidden="1">
      <c r="R378" s="398">
        <v>308</v>
      </c>
      <c r="S378" s="398" t="s">
        <v>267</v>
      </c>
      <c r="T378" s="398" t="s">
        <v>293</v>
      </c>
      <c r="U378" s="399">
        <v>20</v>
      </c>
      <c r="V378" s="400">
        <v>50</v>
      </c>
      <c r="W378" s="400">
        <v>45</v>
      </c>
    </row>
    <row r="379" spans="18:23" ht="15" customHeight="1" hidden="1">
      <c r="R379" s="398">
        <v>309</v>
      </c>
      <c r="S379" s="398" t="s">
        <v>271</v>
      </c>
      <c r="T379" s="398" t="s">
        <v>293</v>
      </c>
      <c r="U379" s="399">
        <v>30</v>
      </c>
      <c r="V379" s="400">
        <v>50</v>
      </c>
      <c r="W379" s="400">
        <v>45</v>
      </c>
    </row>
    <row r="380" spans="18:23" ht="15" customHeight="1" hidden="1">
      <c r="R380" s="398">
        <v>310</v>
      </c>
      <c r="S380" s="398" t="s">
        <v>256</v>
      </c>
      <c r="T380" s="398" t="s">
        <v>293</v>
      </c>
      <c r="U380" s="399">
        <v>20</v>
      </c>
      <c r="V380" s="400">
        <v>50</v>
      </c>
      <c r="W380" s="400">
        <v>45</v>
      </c>
    </row>
    <row r="381" spans="18:23" ht="15" customHeight="1" hidden="1">
      <c r="R381" s="398">
        <v>311</v>
      </c>
      <c r="S381" s="398" t="s">
        <v>255</v>
      </c>
      <c r="T381" s="398" t="s">
        <v>293</v>
      </c>
      <c r="U381" s="399">
        <v>20</v>
      </c>
      <c r="V381" s="400">
        <v>50</v>
      </c>
      <c r="W381" s="400">
        <v>45</v>
      </c>
    </row>
    <row r="382" spans="18:23" ht="15" customHeight="1" hidden="1">
      <c r="R382" s="398">
        <v>312</v>
      </c>
      <c r="S382" s="398" t="s">
        <v>265</v>
      </c>
      <c r="T382" s="398" t="s">
        <v>293</v>
      </c>
      <c r="U382" s="399">
        <v>20</v>
      </c>
      <c r="V382" s="400">
        <v>50</v>
      </c>
      <c r="W382" s="400">
        <v>45</v>
      </c>
    </row>
    <row r="383" spans="18:23" ht="15" customHeight="1" hidden="1">
      <c r="R383" s="398">
        <v>313</v>
      </c>
      <c r="S383" s="398" t="s">
        <v>257</v>
      </c>
      <c r="T383" s="398" t="s">
        <v>293</v>
      </c>
      <c r="U383" s="399">
        <v>20</v>
      </c>
      <c r="V383" s="400">
        <v>50</v>
      </c>
      <c r="W383" s="400">
        <v>45</v>
      </c>
    </row>
    <row r="384" spans="18:23" ht="15" customHeight="1" hidden="1">
      <c r="R384" s="398">
        <v>314</v>
      </c>
      <c r="S384" s="398" t="s">
        <v>262</v>
      </c>
      <c r="T384" s="398" t="s">
        <v>293</v>
      </c>
      <c r="U384" s="399">
        <v>20</v>
      </c>
      <c r="V384" s="400">
        <v>50</v>
      </c>
      <c r="W384" s="400">
        <v>45</v>
      </c>
    </row>
    <row r="385" spans="18:23" ht="15" customHeight="1" hidden="1">
      <c r="R385" s="398">
        <v>315</v>
      </c>
      <c r="S385" s="398" t="s">
        <v>270</v>
      </c>
      <c r="T385" s="398" t="s">
        <v>293</v>
      </c>
      <c r="U385" s="399">
        <v>20</v>
      </c>
      <c r="V385" s="400">
        <v>50</v>
      </c>
      <c r="W385" s="400">
        <v>45</v>
      </c>
    </row>
    <row r="386" spans="18:23" ht="15" customHeight="1" hidden="1">
      <c r="R386" s="398">
        <v>316</v>
      </c>
      <c r="S386" s="398" t="s">
        <v>261</v>
      </c>
      <c r="T386" s="398" t="s">
        <v>293</v>
      </c>
      <c r="U386" s="399">
        <v>20</v>
      </c>
      <c r="V386" s="400">
        <v>50</v>
      </c>
      <c r="W386" s="400">
        <v>45</v>
      </c>
    </row>
    <row r="387" spans="18:23" ht="15" customHeight="1" hidden="1">
      <c r="R387" s="398">
        <v>317</v>
      </c>
      <c r="S387" s="398" t="s">
        <v>268</v>
      </c>
      <c r="T387" s="398" t="s">
        <v>293</v>
      </c>
      <c r="U387" s="399">
        <v>20</v>
      </c>
      <c r="V387" s="400">
        <v>50</v>
      </c>
      <c r="W387" s="400">
        <v>45</v>
      </c>
    </row>
    <row r="388" spans="18:23" ht="15" customHeight="1" hidden="1">
      <c r="R388" s="398">
        <v>318</v>
      </c>
      <c r="S388" s="398" t="s">
        <v>269</v>
      </c>
      <c r="T388" s="398" t="s">
        <v>293</v>
      </c>
      <c r="U388" s="399">
        <v>20</v>
      </c>
      <c r="V388" s="400">
        <v>50</v>
      </c>
      <c r="W388" s="400">
        <v>45</v>
      </c>
    </row>
    <row r="389" spans="18:23" ht="15" customHeight="1" hidden="1">
      <c r="R389" s="398">
        <v>319</v>
      </c>
      <c r="S389" s="398" t="s">
        <v>263</v>
      </c>
      <c r="T389" s="398" t="s">
        <v>293</v>
      </c>
      <c r="U389" s="399">
        <v>30</v>
      </c>
      <c r="V389" s="400">
        <v>50</v>
      </c>
      <c r="W389" s="400">
        <v>45</v>
      </c>
    </row>
    <row r="390" spans="18:23" ht="15" customHeight="1" hidden="1">
      <c r="R390" s="398">
        <v>320</v>
      </c>
      <c r="S390" s="398" t="s">
        <v>264</v>
      </c>
      <c r="T390" s="398" t="s">
        <v>293</v>
      </c>
      <c r="U390" s="399">
        <v>20</v>
      </c>
      <c r="V390" s="400">
        <v>50</v>
      </c>
      <c r="W390" s="400">
        <v>45</v>
      </c>
    </row>
    <row r="391" spans="18:23" ht="15" customHeight="1" hidden="1">
      <c r="R391" s="398">
        <v>321</v>
      </c>
      <c r="S391" s="398" t="s">
        <v>254</v>
      </c>
      <c r="T391" s="398" t="s">
        <v>293</v>
      </c>
      <c r="U391" s="399">
        <v>20</v>
      </c>
      <c r="V391" s="400">
        <v>50</v>
      </c>
      <c r="W391" s="400">
        <v>45</v>
      </c>
    </row>
    <row r="392" spans="18:23" ht="15" customHeight="1" hidden="1">
      <c r="R392" s="398">
        <v>322</v>
      </c>
      <c r="S392" s="398" t="s">
        <v>259</v>
      </c>
      <c r="T392" s="398" t="s">
        <v>293</v>
      </c>
      <c r="U392" s="399">
        <v>20</v>
      </c>
      <c r="V392" s="400">
        <v>50</v>
      </c>
      <c r="W392" s="400">
        <v>45</v>
      </c>
    </row>
    <row r="393" spans="18:23" ht="15" customHeight="1" hidden="1">
      <c r="R393" s="398">
        <v>323</v>
      </c>
      <c r="S393" s="398" t="s">
        <v>266</v>
      </c>
      <c r="T393" s="398" t="s">
        <v>293</v>
      </c>
      <c r="U393" s="399">
        <v>20</v>
      </c>
      <c r="V393" s="400">
        <v>50</v>
      </c>
      <c r="W393" s="400">
        <v>45</v>
      </c>
    </row>
    <row r="394" spans="18:23" ht="15" customHeight="1" hidden="1">
      <c r="R394" s="398">
        <v>324</v>
      </c>
      <c r="S394" s="398" t="s">
        <v>260</v>
      </c>
      <c r="T394" s="398" t="s">
        <v>293</v>
      </c>
      <c r="U394" s="399">
        <v>20</v>
      </c>
      <c r="V394" s="400">
        <v>50</v>
      </c>
      <c r="W394" s="400">
        <v>45</v>
      </c>
    </row>
    <row r="395" spans="18:23" ht="15" customHeight="1" hidden="1">
      <c r="R395" s="398">
        <v>325</v>
      </c>
      <c r="S395" s="398" t="s">
        <v>258</v>
      </c>
      <c r="T395" s="398" t="s">
        <v>294</v>
      </c>
      <c r="U395" s="399">
        <v>25</v>
      </c>
      <c r="V395" s="400">
        <v>50</v>
      </c>
      <c r="W395" s="400">
        <v>45</v>
      </c>
    </row>
    <row r="396" spans="18:23" ht="15" customHeight="1" hidden="1">
      <c r="R396" s="398">
        <v>326</v>
      </c>
      <c r="S396" s="398" t="s">
        <v>267</v>
      </c>
      <c r="T396" s="398" t="s">
        <v>294</v>
      </c>
      <c r="U396" s="399">
        <v>25</v>
      </c>
      <c r="V396" s="400">
        <v>50</v>
      </c>
      <c r="W396" s="400">
        <v>45</v>
      </c>
    </row>
    <row r="397" spans="18:23" ht="15" customHeight="1" hidden="1">
      <c r="R397" s="398">
        <v>327</v>
      </c>
      <c r="S397" s="398" t="s">
        <v>271</v>
      </c>
      <c r="T397" s="398" t="s">
        <v>294</v>
      </c>
      <c r="U397" s="399">
        <v>30</v>
      </c>
      <c r="V397" s="400">
        <v>50</v>
      </c>
      <c r="W397" s="400">
        <v>45</v>
      </c>
    </row>
    <row r="398" spans="18:23" ht="15" customHeight="1" hidden="1">
      <c r="R398" s="398">
        <v>328</v>
      </c>
      <c r="S398" s="398" t="s">
        <v>256</v>
      </c>
      <c r="T398" s="398" t="s">
        <v>294</v>
      </c>
      <c r="U398" s="399">
        <v>30</v>
      </c>
      <c r="V398" s="400">
        <v>50</v>
      </c>
      <c r="W398" s="400">
        <v>45</v>
      </c>
    </row>
    <row r="399" spans="18:23" ht="15" customHeight="1" hidden="1">
      <c r="R399" s="398">
        <v>329</v>
      </c>
      <c r="S399" s="398" t="s">
        <v>255</v>
      </c>
      <c r="T399" s="398" t="s">
        <v>294</v>
      </c>
      <c r="U399" s="399">
        <v>30</v>
      </c>
      <c r="V399" s="400">
        <v>50</v>
      </c>
      <c r="W399" s="400">
        <v>45</v>
      </c>
    </row>
    <row r="400" spans="18:23" ht="15" customHeight="1" hidden="1">
      <c r="R400" s="398">
        <v>330</v>
      </c>
      <c r="S400" s="398" t="s">
        <v>265</v>
      </c>
      <c r="T400" s="398" t="s">
        <v>294</v>
      </c>
      <c r="U400" s="399">
        <v>25</v>
      </c>
      <c r="V400" s="400">
        <v>50</v>
      </c>
      <c r="W400" s="400">
        <v>45</v>
      </c>
    </row>
    <row r="401" spans="18:23" ht="15" customHeight="1" hidden="1">
      <c r="R401" s="398">
        <v>331</v>
      </c>
      <c r="S401" s="398" t="s">
        <v>257</v>
      </c>
      <c r="T401" s="398" t="s">
        <v>294</v>
      </c>
      <c r="U401" s="399">
        <v>30</v>
      </c>
      <c r="V401" s="400">
        <v>50</v>
      </c>
      <c r="W401" s="400">
        <v>45</v>
      </c>
    </row>
    <row r="402" spans="18:23" ht="15" customHeight="1" hidden="1">
      <c r="R402" s="398">
        <v>332</v>
      </c>
      <c r="S402" s="398" t="s">
        <v>262</v>
      </c>
      <c r="T402" s="398" t="s">
        <v>294</v>
      </c>
      <c r="U402" s="399">
        <v>30</v>
      </c>
      <c r="V402" s="400">
        <v>50</v>
      </c>
      <c r="W402" s="400">
        <v>45</v>
      </c>
    </row>
    <row r="403" spans="18:23" ht="15" customHeight="1" hidden="1">
      <c r="R403" s="398">
        <v>333</v>
      </c>
      <c r="S403" s="398" t="s">
        <v>270</v>
      </c>
      <c r="T403" s="398" t="s">
        <v>294</v>
      </c>
      <c r="U403" s="399">
        <v>30</v>
      </c>
      <c r="V403" s="400">
        <v>50</v>
      </c>
      <c r="W403" s="400">
        <v>45</v>
      </c>
    </row>
    <row r="404" spans="18:23" ht="15" customHeight="1" hidden="1">
      <c r="R404" s="398">
        <v>334</v>
      </c>
      <c r="S404" s="398" t="s">
        <v>261</v>
      </c>
      <c r="T404" s="398" t="s">
        <v>294</v>
      </c>
      <c r="U404" s="399">
        <v>30</v>
      </c>
      <c r="V404" s="400">
        <v>50</v>
      </c>
      <c r="W404" s="400">
        <v>45</v>
      </c>
    </row>
    <row r="405" spans="18:23" ht="15" customHeight="1" hidden="1">
      <c r="R405" s="398">
        <v>335</v>
      </c>
      <c r="S405" s="398" t="s">
        <v>268</v>
      </c>
      <c r="T405" s="398" t="s">
        <v>294</v>
      </c>
      <c r="U405" s="399">
        <v>20</v>
      </c>
      <c r="V405" s="400">
        <v>50</v>
      </c>
      <c r="W405" s="400">
        <v>45</v>
      </c>
    </row>
    <row r="406" spans="18:23" ht="15" customHeight="1" hidden="1">
      <c r="R406" s="398">
        <v>336</v>
      </c>
      <c r="S406" s="398" t="s">
        <v>269</v>
      </c>
      <c r="T406" s="398" t="s">
        <v>294</v>
      </c>
      <c r="U406" s="399">
        <v>30</v>
      </c>
      <c r="V406" s="400">
        <v>50</v>
      </c>
      <c r="W406" s="400">
        <v>45</v>
      </c>
    </row>
    <row r="407" spans="18:23" ht="15" customHeight="1" hidden="1">
      <c r="R407" s="398">
        <v>337</v>
      </c>
      <c r="S407" s="398" t="s">
        <v>263</v>
      </c>
      <c r="T407" s="398" t="s">
        <v>294</v>
      </c>
      <c r="U407" s="399">
        <v>30</v>
      </c>
      <c r="V407" s="400">
        <v>50</v>
      </c>
      <c r="W407" s="400">
        <v>45</v>
      </c>
    </row>
    <row r="408" spans="18:23" ht="15" customHeight="1" hidden="1">
      <c r="R408" s="398">
        <v>338</v>
      </c>
      <c r="S408" s="398" t="s">
        <v>264</v>
      </c>
      <c r="T408" s="398" t="s">
        <v>294</v>
      </c>
      <c r="U408" s="399">
        <v>25</v>
      </c>
      <c r="V408" s="400">
        <v>50</v>
      </c>
      <c r="W408" s="400">
        <v>45</v>
      </c>
    </row>
    <row r="409" spans="18:23" ht="15" customHeight="1" hidden="1">
      <c r="R409" s="398">
        <v>339</v>
      </c>
      <c r="S409" s="398" t="s">
        <v>254</v>
      </c>
      <c r="T409" s="398" t="s">
        <v>294</v>
      </c>
      <c r="U409" s="399">
        <v>30</v>
      </c>
      <c r="V409" s="400">
        <v>50</v>
      </c>
      <c r="W409" s="400">
        <v>45</v>
      </c>
    </row>
    <row r="410" spans="18:23" ht="15" customHeight="1" hidden="1">
      <c r="R410" s="398">
        <v>340</v>
      </c>
      <c r="S410" s="398" t="s">
        <v>259</v>
      </c>
      <c r="T410" s="398" t="s">
        <v>294</v>
      </c>
      <c r="U410" s="399">
        <v>25</v>
      </c>
      <c r="V410" s="400">
        <v>50</v>
      </c>
      <c r="W410" s="400">
        <v>45</v>
      </c>
    </row>
    <row r="411" spans="18:23" ht="15" customHeight="1" hidden="1">
      <c r="R411" s="398">
        <v>341</v>
      </c>
      <c r="S411" s="398" t="s">
        <v>266</v>
      </c>
      <c r="T411" s="398" t="s">
        <v>294</v>
      </c>
      <c r="U411" s="399">
        <v>20</v>
      </c>
      <c r="V411" s="400">
        <v>50</v>
      </c>
      <c r="W411" s="400">
        <v>45</v>
      </c>
    </row>
    <row r="412" spans="18:23" ht="15" customHeight="1" hidden="1">
      <c r="R412" s="398">
        <v>342</v>
      </c>
      <c r="S412" s="398" t="s">
        <v>260</v>
      </c>
      <c r="T412" s="398" t="s">
        <v>294</v>
      </c>
      <c r="U412" s="399">
        <v>20</v>
      </c>
      <c r="V412" s="400">
        <v>50</v>
      </c>
      <c r="W412" s="400">
        <v>45</v>
      </c>
    </row>
    <row r="413" spans="18:23" ht="15" customHeight="1" hidden="1">
      <c r="R413" s="398">
        <v>343</v>
      </c>
      <c r="S413" s="398" t="s">
        <v>258</v>
      </c>
      <c r="T413" s="398" t="s">
        <v>295</v>
      </c>
      <c r="U413" s="399">
        <v>20</v>
      </c>
      <c r="V413" s="400">
        <v>50</v>
      </c>
      <c r="W413" s="400">
        <v>45</v>
      </c>
    </row>
    <row r="414" spans="18:23" ht="15" customHeight="1" hidden="1">
      <c r="R414" s="398">
        <v>344</v>
      </c>
      <c r="S414" s="398" t="s">
        <v>267</v>
      </c>
      <c r="T414" s="398" t="s">
        <v>295</v>
      </c>
      <c r="U414" s="399">
        <v>20</v>
      </c>
      <c r="V414" s="400">
        <v>50</v>
      </c>
      <c r="W414" s="400">
        <v>45</v>
      </c>
    </row>
    <row r="415" spans="18:23" ht="15" customHeight="1" hidden="1">
      <c r="R415" s="398">
        <v>345</v>
      </c>
      <c r="S415" s="398" t="s">
        <v>271</v>
      </c>
      <c r="T415" s="398" t="s">
        <v>295</v>
      </c>
      <c r="U415" s="399">
        <v>30</v>
      </c>
      <c r="V415" s="400">
        <v>50</v>
      </c>
      <c r="W415" s="400">
        <v>45</v>
      </c>
    </row>
    <row r="416" spans="18:23" ht="15" customHeight="1" hidden="1">
      <c r="R416" s="398">
        <v>346</v>
      </c>
      <c r="S416" s="398" t="s">
        <v>256</v>
      </c>
      <c r="T416" s="398" t="s">
        <v>295</v>
      </c>
      <c r="U416" s="399">
        <v>20</v>
      </c>
      <c r="V416" s="400">
        <v>50</v>
      </c>
      <c r="W416" s="400">
        <v>45</v>
      </c>
    </row>
    <row r="417" spans="18:23" ht="15" customHeight="1" hidden="1">
      <c r="R417" s="398">
        <v>347</v>
      </c>
      <c r="S417" s="398" t="s">
        <v>255</v>
      </c>
      <c r="T417" s="398" t="s">
        <v>295</v>
      </c>
      <c r="U417" s="399">
        <v>20</v>
      </c>
      <c r="V417" s="400">
        <v>50</v>
      </c>
      <c r="W417" s="400">
        <v>45</v>
      </c>
    </row>
    <row r="418" spans="18:23" ht="15" customHeight="1" hidden="1">
      <c r="R418" s="398">
        <v>348</v>
      </c>
      <c r="S418" s="398" t="s">
        <v>265</v>
      </c>
      <c r="T418" s="398" t="s">
        <v>295</v>
      </c>
      <c r="U418" s="399">
        <v>20</v>
      </c>
      <c r="V418" s="400">
        <v>50</v>
      </c>
      <c r="W418" s="400">
        <v>45</v>
      </c>
    </row>
    <row r="419" spans="18:23" ht="15" customHeight="1" hidden="1">
      <c r="R419" s="398">
        <v>349</v>
      </c>
      <c r="S419" s="398" t="s">
        <v>257</v>
      </c>
      <c r="T419" s="398" t="s">
        <v>295</v>
      </c>
      <c r="U419" s="399">
        <v>20</v>
      </c>
      <c r="V419" s="400">
        <v>50</v>
      </c>
      <c r="W419" s="400">
        <v>45</v>
      </c>
    </row>
    <row r="420" spans="18:23" ht="15" customHeight="1" hidden="1">
      <c r="R420" s="398">
        <v>350</v>
      </c>
      <c r="S420" s="398" t="s">
        <v>262</v>
      </c>
      <c r="T420" s="398" t="s">
        <v>295</v>
      </c>
      <c r="U420" s="399">
        <v>20</v>
      </c>
      <c r="V420" s="400">
        <v>50</v>
      </c>
      <c r="W420" s="400">
        <v>45</v>
      </c>
    </row>
    <row r="421" spans="18:23" ht="15" customHeight="1" hidden="1">
      <c r="R421" s="398">
        <v>351</v>
      </c>
      <c r="S421" s="398" t="s">
        <v>270</v>
      </c>
      <c r="T421" s="398" t="s">
        <v>295</v>
      </c>
      <c r="U421" s="399">
        <v>20</v>
      </c>
      <c r="V421" s="400">
        <v>50</v>
      </c>
      <c r="W421" s="400">
        <v>45</v>
      </c>
    </row>
    <row r="422" spans="18:23" ht="15" customHeight="1" hidden="1">
      <c r="R422" s="398">
        <v>352</v>
      </c>
      <c r="S422" s="398" t="s">
        <v>261</v>
      </c>
      <c r="T422" s="398" t="s">
        <v>295</v>
      </c>
      <c r="U422" s="399">
        <v>20</v>
      </c>
      <c r="V422" s="400">
        <v>50</v>
      </c>
      <c r="W422" s="400">
        <v>45</v>
      </c>
    </row>
    <row r="423" spans="18:23" ht="15" customHeight="1" hidden="1">
      <c r="R423" s="398">
        <v>353</v>
      </c>
      <c r="S423" s="398" t="s">
        <v>268</v>
      </c>
      <c r="T423" s="398" t="s">
        <v>295</v>
      </c>
      <c r="U423" s="399">
        <v>20</v>
      </c>
      <c r="V423" s="400">
        <v>50</v>
      </c>
      <c r="W423" s="400">
        <v>45</v>
      </c>
    </row>
    <row r="424" spans="18:23" ht="15" customHeight="1" hidden="1">
      <c r="R424" s="398">
        <v>354</v>
      </c>
      <c r="S424" s="398" t="s">
        <v>269</v>
      </c>
      <c r="T424" s="398" t="s">
        <v>295</v>
      </c>
      <c r="U424" s="399">
        <v>20</v>
      </c>
      <c r="V424" s="400">
        <v>50</v>
      </c>
      <c r="W424" s="400">
        <v>45</v>
      </c>
    </row>
    <row r="425" spans="18:23" ht="15" customHeight="1" hidden="1">
      <c r="R425" s="398">
        <v>355</v>
      </c>
      <c r="S425" s="398" t="s">
        <v>263</v>
      </c>
      <c r="T425" s="398" t="s">
        <v>295</v>
      </c>
      <c r="U425" s="399">
        <v>30</v>
      </c>
      <c r="V425" s="400">
        <v>50</v>
      </c>
      <c r="W425" s="400">
        <v>45</v>
      </c>
    </row>
    <row r="426" spans="18:23" ht="15" customHeight="1" hidden="1">
      <c r="R426" s="398">
        <v>356</v>
      </c>
      <c r="S426" s="398" t="s">
        <v>264</v>
      </c>
      <c r="T426" s="398" t="s">
        <v>295</v>
      </c>
      <c r="U426" s="399">
        <v>20</v>
      </c>
      <c r="V426" s="400">
        <v>50</v>
      </c>
      <c r="W426" s="400">
        <v>45</v>
      </c>
    </row>
    <row r="427" spans="18:23" ht="15" customHeight="1" hidden="1">
      <c r="R427" s="398">
        <v>357</v>
      </c>
      <c r="S427" s="398" t="s">
        <v>254</v>
      </c>
      <c r="T427" s="398" t="s">
        <v>295</v>
      </c>
      <c r="U427" s="399">
        <v>20</v>
      </c>
      <c r="V427" s="400">
        <v>50</v>
      </c>
      <c r="W427" s="400">
        <v>45</v>
      </c>
    </row>
    <row r="428" spans="18:23" ht="15" customHeight="1" hidden="1">
      <c r="R428" s="398">
        <v>358</v>
      </c>
      <c r="S428" s="398" t="s">
        <v>259</v>
      </c>
      <c r="T428" s="398" t="s">
        <v>295</v>
      </c>
      <c r="U428" s="399">
        <v>20</v>
      </c>
      <c r="V428" s="400">
        <v>50</v>
      </c>
      <c r="W428" s="400">
        <v>45</v>
      </c>
    </row>
    <row r="429" spans="18:23" ht="15" customHeight="1" hidden="1">
      <c r="R429" s="398">
        <v>359</v>
      </c>
      <c r="S429" s="398" t="s">
        <v>266</v>
      </c>
      <c r="T429" s="398" t="s">
        <v>295</v>
      </c>
      <c r="U429" s="399">
        <v>20</v>
      </c>
      <c r="V429" s="400">
        <v>50</v>
      </c>
      <c r="W429" s="400">
        <v>45</v>
      </c>
    </row>
    <row r="430" spans="18:23" ht="15" customHeight="1" hidden="1">
      <c r="R430" s="398">
        <v>360</v>
      </c>
      <c r="S430" s="398" t="s">
        <v>260</v>
      </c>
      <c r="T430" s="398" t="s">
        <v>295</v>
      </c>
      <c r="U430" s="399">
        <v>20</v>
      </c>
      <c r="V430" s="400">
        <v>50</v>
      </c>
      <c r="W430" s="400">
        <v>45</v>
      </c>
    </row>
    <row r="431" spans="18:23" ht="15" customHeight="1" hidden="1">
      <c r="R431" s="398">
        <v>361</v>
      </c>
      <c r="S431" s="398" t="s">
        <v>258</v>
      </c>
      <c r="T431" s="398" t="s">
        <v>296</v>
      </c>
      <c r="U431" s="399">
        <v>25</v>
      </c>
      <c r="V431" s="400">
        <v>50</v>
      </c>
      <c r="W431" s="400">
        <v>45</v>
      </c>
    </row>
    <row r="432" spans="18:23" ht="15" customHeight="1" hidden="1">
      <c r="R432" s="398">
        <v>362</v>
      </c>
      <c r="S432" s="398" t="s">
        <v>267</v>
      </c>
      <c r="T432" s="398" t="s">
        <v>296</v>
      </c>
      <c r="U432" s="399">
        <v>25</v>
      </c>
      <c r="V432" s="400">
        <v>50</v>
      </c>
      <c r="W432" s="400">
        <v>45</v>
      </c>
    </row>
    <row r="433" spans="18:23" ht="15" customHeight="1" hidden="1">
      <c r="R433" s="398">
        <v>363</v>
      </c>
      <c r="S433" s="398" t="s">
        <v>271</v>
      </c>
      <c r="T433" s="398" t="s">
        <v>296</v>
      </c>
      <c r="U433" s="399">
        <v>30</v>
      </c>
      <c r="V433" s="400">
        <v>50</v>
      </c>
      <c r="W433" s="400">
        <v>45</v>
      </c>
    </row>
    <row r="434" spans="18:23" ht="15" customHeight="1" hidden="1">
      <c r="R434" s="398">
        <v>364</v>
      </c>
      <c r="S434" s="398" t="s">
        <v>256</v>
      </c>
      <c r="T434" s="398" t="s">
        <v>296</v>
      </c>
      <c r="U434" s="399">
        <v>30</v>
      </c>
      <c r="V434" s="400">
        <v>50</v>
      </c>
      <c r="W434" s="400">
        <v>45</v>
      </c>
    </row>
    <row r="435" spans="18:23" ht="15" customHeight="1" hidden="1">
      <c r="R435" s="398">
        <v>365</v>
      </c>
      <c r="S435" s="398" t="s">
        <v>255</v>
      </c>
      <c r="T435" s="398" t="s">
        <v>296</v>
      </c>
      <c r="U435" s="399">
        <v>30</v>
      </c>
      <c r="V435" s="400">
        <v>50</v>
      </c>
      <c r="W435" s="400">
        <v>45</v>
      </c>
    </row>
    <row r="436" spans="18:23" ht="15" customHeight="1" hidden="1">
      <c r="R436" s="398">
        <v>366</v>
      </c>
      <c r="S436" s="398" t="s">
        <v>265</v>
      </c>
      <c r="T436" s="398" t="s">
        <v>296</v>
      </c>
      <c r="U436" s="399">
        <v>25</v>
      </c>
      <c r="V436" s="400">
        <v>50</v>
      </c>
      <c r="W436" s="400">
        <v>45</v>
      </c>
    </row>
    <row r="437" spans="18:23" ht="15" customHeight="1" hidden="1">
      <c r="R437" s="398">
        <v>367</v>
      </c>
      <c r="S437" s="398" t="s">
        <v>257</v>
      </c>
      <c r="T437" s="398" t="s">
        <v>296</v>
      </c>
      <c r="U437" s="399">
        <v>30</v>
      </c>
      <c r="V437" s="400">
        <v>50</v>
      </c>
      <c r="W437" s="400">
        <v>45</v>
      </c>
    </row>
    <row r="438" spans="18:23" ht="15" customHeight="1" hidden="1">
      <c r="R438" s="398">
        <v>368</v>
      </c>
      <c r="S438" s="398" t="s">
        <v>262</v>
      </c>
      <c r="T438" s="398" t="s">
        <v>296</v>
      </c>
      <c r="U438" s="399">
        <v>30</v>
      </c>
      <c r="V438" s="400">
        <v>50</v>
      </c>
      <c r="W438" s="400">
        <v>45</v>
      </c>
    </row>
    <row r="439" spans="18:23" ht="15" customHeight="1" hidden="1">
      <c r="R439" s="398">
        <v>369</v>
      </c>
      <c r="S439" s="398" t="s">
        <v>270</v>
      </c>
      <c r="T439" s="398" t="s">
        <v>296</v>
      </c>
      <c r="U439" s="399">
        <v>30</v>
      </c>
      <c r="V439" s="400">
        <v>50</v>
      </c>
      <c r="W439" s="400">
        <v>45</v>
      </c>
    </row>
    <row r="440" spans="18:23" ht="15" customHeight="1" hidden="1">
      <c r="R440" s="398">
        <v>370</v>
      </c>
      <c r="S440" s="398" t="s">
        <v>261</v>
      </c>
      <c r="T440" s="398" t="s">
        <v>296</v>
      </c>
      <c r="U440" s="399">
        <v>30</v>
      </c>
      <c r="V440" s="400">
        <v>50</v>
      </c>
      <c r="W440" s="400">
        <v>45</v>
      </c>
    </row>
    <row r="441" spans="18:23" ht="15" customHeight="1" hidden="1">
      <c r="R441" s="398">
        <v>371</v>
      </c>
      <c r="S441" s="398" t="s">
        <v>268</v>
      </c>
      <c r="T441" s="398" t="s">
        <v>296</v>
      </c>
      <c r="U441" s="399">
        <v>30</v>
      </c>
      <c r="V441" s="400">
        <v>50</v>
      </c>
      <c r="W441" s="400">
        <v>45</v>
      </c>
    </row>
    <row r="442" spans="18:23" ht="15" customHeight="1" hidden="1">
      <c r="R442" s="398">
        <v>372</v>
      </c>
      <c r="S442" s="398" t="s">
        <v>269</v>
      </c>
      <c r="T442" s="398" t="s">
        <v>296</v>
      </c>
      <c r="U442" s="399">
        <v>30</v>
      </c>
      <c r="V442" s="400">
        <v>50</v>
      </c>
      <c r="W442" s="400">
        <v>45</v>
      </c>
    </row>
    <row r="443" spans="18:23" ht="15" customHeight="1" hidden="1">
      <c r="R443" s="398">
        <v>373</v>
      </c>
      <c r="S443" s="398" t="s">
        <v>263</v>
      </c>
      <c r="T443" s="398" t="s">
        <v>296</v>
      </c>
      <c r="U443" s="399">
        <v>30</v>
      </c>
      <c r="V443" s="400">
        <v>50</v>
      </c>
      <c r="W443" s="400">
        <v>45</v>
      </c>
    </row>
    <row r="444" spans="18:23" ht="15" customHeight="1" hidden="1">
      <c r="R444" s="398">
        <v>374</v>
      </c>
      <c r="S444" s="398" t="s">
        <v>264</v>
      </c>
      <c r="T444" s="398" t="s">
        <v>296</v>
      </c>
      <c r="U444" s="399">
        <v>25</v>
      </c>
      <c r="V444" s="400">
        <v>50</v>
      </c>
      <c r="W444" s="400">
        <v>45</v>
      </c>
    </row>
    <row r="445" spans="18:23" ht="15" customHeight="1" hidden="1">
      <c r="R445" s="398">
        <v>375</v>
      </c>
      <c r="S445" s="398" t="s">
        <v>254</v>
      </c>
      <c r="T445" s="398" t="s">
        <v>296</v>
      </c>
      <c r="U445" s="399">
        <v>30</v>
      </c>
      <c r="V445" s="400">
        <v>50</v>
      </c>
      <c r="W445" s="400">
        <v>45</v>
      </c>
    </row>
    <row r="446" spans="18:23" ht="15" customHeight="1" hidden="1">
      <c r="R446" s="398">
        <v>376</v>
      </c>
      <c r="S446" s="398" t="s">
        <v>259</v>
      </c>
      <c r="T446" s="398" t="s">
        <v>296</v>
      </c>
      <c r="U446" s="399">
        <v>30</v>
      </c>
      <c r="V446" s="400">
        <v>50</v>
      </c>
      <c r="W446" s="400">
        <v>45</v>
      </c>
    </row>
    <row r="447" spans="18:23" ht="15" customHeight="1" hidden="1">
      <c r="R447" s="398">
        <v>377</v>
      </c>
      <c r="S447" s="398" t="s">
        <v>266</v>
      </c>
      <c r="T447" s="398" t="s">
        <v>296</v>
      </c>
      <c r="U447" s="399">
        <v>30</v>
      </c>
      <c r="V447" s="400">
        <v>50</v>
      </c>
      <c r="W447" s="400">
        <v>45</v>
      </c>
    </row>
    <row r="448" spans="18:23" ht="15" customHeight="1" hidden="1">
      <c r="R448" s="398">
        <v>378</v>
      </c>
      <c r="S448" s="398" t="s">
        <v>260</v>
      </c>
      <c r="T448" s="398" t="s">
        <v>296</v>
      </c>
      <c r="U448" s="399">
        <v>30</v>
      </c>
      <c r="V448" s="400">
        <v>50</v>
      </c>
      <c r="W448" s="400">
        <v>45</v>
      </c>
    </row>
    <row r="449" spans="18:23" ht="15" customHeight="1" hidden="1">
      <c r="R449" s="398">
        <v>379</v>
      </c>
      <c r="S449" s="398" t="s">
        <v>258</v>
      </c>
      <c r="T449" s="398" t="s">
        <v>297</v>
      </c>
      <c r="U449" s="399">
        <v>40</v>
      </c>
      <c r="V449" s="400">
        <v>50</v>
      </c>
      <c r="W449" s="400">
        <v>45</v>
      </c>
    </row>
    <row r="450" spans="18:23" ht="15" customHeight="1" hidden="1">
      <c r="R450" s="398">
        <v>380</v>
      </c>
      <c r="S450" s="398" t="s">
        <v>267</v>
      </c>
      <c r="T450" s="398" t="s">
        <v>297</v>
      </c>
      <c r="U450" s="399">
        <v>40</v>
      </c>
      <c r="V450" s="400">
        <v>50</v>
      </c>
      <c r="W450" s="400">
        <v>45</v>
      </c>
    </row>
    <row r="451" spans="18:23" ht="15" customHeight="1" hidden="1">
      <c r="R451" s="398">
        <v>381</v>
      </c>
      <c r="S451" s="398" t="s">
        <v>271</v>
      </c>
      <c r="T451" s="398" t="s">
        <v>297</v>
      </c>
      <c r="U451" s="399">
        <v>30</v>
      </c>
      <c r="V451" s="400">
        <v>50</v>
      </c>
      <c r="W451" s="400">
        <v>45</v>
      </c>
    </row>
    <row r="452" spans="18:23" ht="15" customHeight="1" hidden="1">
      <c r="R452" s="398">
        <v>382</v>
      </c>
      <c r="S452" s="398" t="s">
        <v>256</v>
      </c>
      <c r="T452" s="398" t="s">
        <v>297</v>
      </c>
      <c r="U452" s="399">
        <v>30</v>
      </c>
      <c r="V452" s="400">
        <v>50</v>
      </c>
      <c r="W452" s="400">
        <v>45</v>
      </c>
    </row>
    <row r="453" spans="18:23" ht="15" customHeight="1" hidden="1">
      <c r="R453" s="398">
        <v>383</v>
      </c>
      <c r="S453" s="398" t="s">
        <v>255</v>
      </c>
      <c r="T453" s="398" t="s">
        <v>297</v>
      </c>
      <c r="U453" s="399">
        <v>30</v>
      </c>
      <c r="V453" s="400">
        <v>50</v>
      </c>
      <c r="W453" s="400">
        <v>45</v>
      </c>
    </row>
    <row r="454" spans="18:23" ht="15" customHeight="1" hidden="1">
      <c r="R454" s="398">
        <v>384</v>
      </c>
      <c r="S454" s="398" t="s">
        <v>265</v>
      </c>
      <c r="T454" s="398" t="s">
        <v>297</v>
      </c>
      <c r="U454" s="399">
        <v>30</v>
      </c>
      <c r="V454" s="400">
        <v>50</v>
      </c>
      <c r="W454" s="400">
        <v>45</v>
      </c>
    </row>
    <row r="455" spans="18:23" ht="15" customHeight="1" hidden="1">
      <c r="R455" s="398">
        <v>385</v>
      </c>
      <c r="S455" s="398" t="s">
        <v>257</v>
      </c>
      <c r="T455" s="398" t="s">
        <v>297</v>
      </c>
      <c r="U455" s="399">
        <v>30</v>
      </c>
      <c r="V455" s="400">
        <v>50</v>
      </c>
      <c r="W455" s="400">
        <v>45</v>
      </c>
    </row>
    <row r="456" spans="18:23" ht="15" customHeight="1" hidden="1">
      <c r="R456" s="398">
        <v>386</v>
      </c>
      <c r="S456" s="398" t="s">
        <v>262</v>
      </c>
      <c r="T456" s="398" t="s">
        <v>297</v>
      </c>
      <c r="U456" s="399">
        <v>30</v>
      </c>
      <c r="V456" s="400">
        <v>50</v>
      </c>
      <c r="W456" s="400">
        <v>45</v>
      </c>
    </row>
    <row r="457" spans="18:23" ht="15" customHeight="1" hidden="1">
      <c r="R457" s="398">
        <v>387</v>
      </c>
      <c r="S457" s="398" t="s">
        <v>270</v>
      </c>
      <c r="T457" s="398" t="s">
        <v>297</v>
      </c>
      <c r="U457" s="399">
        <v>30</v>
      </c>
      <c r="V457" s="400">
        <v>50</v>
      </c>
      <c r="W457" s="400">
        <v>45</v>
      </c>
    </row>
    <row r="458" spans="18:23" ht="15" customHeight="1" hidden="1">
      <c r="R458" s="398">
        <v>388</v>
      </c>
      <c r="S458" s="398" t="s">
        <v>261</v>
      </c>
      <c r="T458" s="398" t="s">
        <v>297</v>
      </c>
      <c r="U458" s="399">
        <v>30</v>
      </c>
      <c r="V458" s="400">
        <v>50</v>
      </c>
      <c r="W458" s="400">
        <v>45</v>
      </c>
    </row>
    <row r="459" spans="18:23" ht="15" customHeight="1" hidden="1">
      <c r="R459" s="398">
        <v>389</v>
      </c>
      <c r="S459" s="398" t="s">
        <v>268</v>
      </c>
      <c r="T459" s="398" t="s">
        <v>297</v>
      </c>
      <c r="U459" s="399">
        <v>30</v>
      </c>
      <c r="V459" s="400">
        <v>50</v>
      </c>
      <c r="W459" s="400">
        <v>45</v>
      </c>
    </row>
    <row r="460" spans="18:23" ht="15" customHeight="1" hidden="1">
      <c r="R460" s="398">
        <v>390</v>
      </c>
      <c r="S460" s="398" t="s">
        <v>269</v>
      </c>
      <c r="T460" s="398" t="s">
        <v>297</v>
      </c>
      <c r="U460" s="399">
        <v>30</v>
      </c>
      <c r="V460" s="400">
        <v>50</v>
      </c>
      <c r="W460" s="400">
        <v>45</v>
      </c>
    </row>
    <row r="461" spans="18:23" ht="15" customHeight="1" hidden="1">
      <c r="R461" s="398">
        <v>391</v>
      </c>
      <c r="S461" s="398" t="s">
        <v>263</v>
      </c>
      <c r="T461" s="398" t="s">
        <v>297</v>
      </c>
      <c r="U461" s="399">
        <v>30</v>
      </c>
      <c r="V461" s="400">
        <v>50</v>
      </c>
      <c r="W461" s="400">
        <v>45</v>
      </c>
    </row>
    <row r="462" spans="18:23" ht="15" customHeight="1" hidden="1">
      <c r="R462" s="398">
        <v>392</v>
      </c>
      <c r="S462" s="398" t="s">
        <v>264</v>
      </c>
      <c r="T462" s="398" t="s">
        <v>297</v>
      </c>
      <c r="U462" s="399">
        <v>30</v>
      </c>
      <c r="V462" s="400">
        <v>50</v>
      </c>
      <c r="W462" s="400">
        <v>45</v>
      </c>
    </row>
    <row r="463" spans="18:23" ht="15" customHeight="1" hidden="1">
      <c r="R463" s="398">
        <v>393</v>
      </c>
      <c r="S463" s="398" t="s">
        <v>254</v>
      </c>
      <c r="T463" s="398" t="s">
        <v>297</v>
      </c>
      <c r="U463" s="399">
        <v>30</v>
      </c>
      <c r="V463" s="400">
        <v>50</v>
      </c>
      <c r="W463" s="400">
        <v>45</v>
      </c>
    </row>
    <row r="464" spans="18:23" ht="15" customHeight="1" hidden="1">
      <c r="R464" s="398">
        <v>394</v>
      </c>
      <c r="S464" s="398" t="s">
        <v>259</v>
      </c>
      <c r="T464" s="398" t="s">
        <v>297</v>
      </c>
      <c r="U464" s="399">
        <v>40</v>
      </c>
      <c r="V464" s="400">
        <v>50</v>
      </c>
      <c r="W464" s="400">
        <v>45</v>
      </c>
    </row>
    <row r="465" spans="18:23" ht="15" customHeight="1" hidden="1">
      <c r="R465" s="398">
        <v>395</v>
      </c>
      <c r="S465" s="398" t="s">
        <v>266</v>
      </c>
      <c r="T465" s="398" t="s">
        <v>297</v>
      </c>
      <c r="U465" s="399">
        <v>30</v>
      </c>
      <c r="V465" s="400">
        <v>50</v>
      </c>
      <c r="W465" s="400">
        <v>45</v>
      </c>
    </row>
    <row r="466" spans="18:23" ht="15" customHeight="1" hidden="1">
      <c r="R466" s="398">
        <v>396</v>
      </c>
      <c r="S466" s="398" t="s">
        <v>260</v>
      </c>
      <c r="T466" s="398" t="s">
        <v>297</v>
      </c>
      <c r="U466" s="399">
        <v>30</v>
      </c>
      <c r="V466" s="400">
        <v>50</v>
      </c>
      <c r="W466" s="400">
        <v>45</v>
      </c>
    </row>
    <row r="467" spans="18:23" ht="15" customHeight="1" hidden="1">
      <c r="R467" s="398">
        <v>397</v>
      </c>
      <c r="S467" s="398" t="s">
        <v>258</v>
      </c>
      <c r="T467" s="398" t="s">
        <v>298</v>
      </c>
      <c r="U467" s="399">
        <v>40</v>
      </c>
      <c r="V467" s="400">
        <v>50</v>
      </c>
      <c r="W467" s="400">
        <v>45</v>
      </c>
    </row>
    <row r="468" spans="18:23" ht="15" customHeight="1" hidden="1">
      <c r="R468" s="398">
        <v>398</v>
      </c>
      <c r="S468" s="398" t="s">
        <v>267</v>
      </c>
      <c r="T468" s="398" t="s">
        <v>298</v>
      </c>
      <c r="U468" s="399">
        <v>40</v>
      </c>
      <c r="V468" s="400">
        <v>50</v>
      </c>
      <c r="W468" s="400">
        <v>45</v>
      </c>
    </row>
    <row r="469" spans="18:23" ht="15" customHeight="1" hidden="1">
      <c r="R469" s="398">
        <v>399</v>
      </c>
      <c r="S469" s="398" t="s">
        <v>271</v>
      </c>
      <c r="T469" s="398" t="s">
        <v>298</v>
      </c>
      <c r="U469" s="399">
        <v>30</v>
      </c>
      <c r="V469" s="400">
        <v>50</v>
      </c>
      <c r="W469" s="400">
        <v>45</v>
      </c>
    </row>
    <row r="470" spans="18:23" ht="15" customHeight="1" hidden="1">
      <c r="R470" s="398">
        <v>400</v>
      </c>
      <c r="S470" s="398" t="s">
        <v>256</v>
      </c>
      <c r="T470" s="398" t="s">
        <v>298</v>
      </c>
      <c r="U470" s="399">
        <v>30</v>
      </c>
      <c r="V470" s="400">
        <v>50</v>
      </c>
      <c r="W470" s="400">
        <v>45</v>
      </c>
    </row>
    <row r="471" spans="18:23" ht="15" customHeight="1" hidden="1">
      <c r="R471" s="398">
        <v>401</v>
      </c>
      <c r="S471" s="398" t="s">
        <v>255</v>
      </c>
      <c r="T471" s="398" t="s">
        <v>298</v>
      </c>
      <c r="U471" s="399">
        <v>30</v>
      </c>
      <c r="V471" s="400">
        <v>50</v>
      </c>
      <c r="W471" s="400">
        <v>45</v>
      </c>
    </row>
    <row r="472" spans="18:23" ht="15" customHeight="1" hidden="1">
      <c r="R472" s="398">
        <v>402</v>
      </c>
      <c r="S472" s="398" t="s">
        <v>265</v>
      </c>
      <c r="T472" s="398" t="s">
        <v>298</v>
      </c>
      <c r="U472" s="399">
        <v>30</v>
      </c>
      <c r="V472" s="400">
        <v>50</v>
      </c>
      <c r="W472" s="400">
        <v>45</v>
      </c>
    </row>
    <row r="473" spans="18:23" ht="15" customHeight="1" hidden="1">
      <c r="R473" s="398">
        <v>403</v>
      </c>
      <c r="S473" s="398" t="s">
        <v>257</v>
      </c>
      <c r="T473" s="398" t="s">
        <v>298</v>
      </c>
      <c r="U473" s="399">
        <v>30</v>
      </c>
      <c r="V473" s="400">
        <v>50</v>
      </c>
      <c r="W473" s="400">
        <v>45</v>
      </c>
    </row>
    <row r="474" spans="18:23" ht="15" customHeight="1" hidden="1">
      <c r="R474" s="398">
        <v>404</v>
      </c>
      <c r="S474" s="398" t="s">
        <v>262</v>
      </c>
      <c r="T474" s="398" t="s">
        <v>298</v>
      </c>
      <c r="U474" s="399">
        <v>30</v>
      </c>
      <c r="V474" s="400">
        <v>50</v>
      </c>
      <c r="W474" s="400">
        <v>45</v>
      </c>
    </row>
    <row r="475" spans="18:23" ht="15" customHeight="1" hidden="1">
      <c r="R475" s="398">
        <v>405</v>
      </c>
      <c r="S475" s="398" t="s">
        <v>270</v>
      </c>
      <c r="T475" s="398" t="s">
        <v>298</v>
      </c>
      <c r="U475" s="399">
        <v>30</v>
      </c>
      <c r="V475" s="400">
        <v>50</v>
      </c>
      <c r="W475" s="400">
        <v>45</v>
      </c>
    </row>
    <row r="476" spans="18:23" ht="15" customHeight="1" hidden="1">
      <c r="R476" s="398">
        <v>406</v>
      </c>
      <c r="S476" s="398" t="s">
        <v>261</v>
      </c>
      <c r="T476" s="398" t="s">
        <v>298</v>
      </c>
      <c r="U476" s="399">
        <v>30</v>
      </c>
      <c r="V476" s="400">
        <v>50</v>
      </c>
      <c r="W476" s="400">
        <v>45</v>
      </c>
    </row>
    <row r="477" spans="18:23" ht="15" customHeight="1" hidden="1">
      <c r="R477" s="398">
        <v>407</v>
      </c>
      <c r="S477" s="398" t="s">
        <v>268</v>
      </c>
      <c r="T477" s="398" t="s">
        <v>298</v>
      </c>
      <c r="U477" s="399">
        <v>30</v>
      </c>
      <c r="V477" s="400">
        <v>50</v>
      </c>
      <c r="W477" s="400">
        <v>45</v>
      </c>
    </row>
    <row r="478" spans="18:23" ht="15" customHeight="1" hidden="1">
      <c r="R478" s="398">
        <v>408</v>
      </c>
      <c r="S478" s="398" t="s">
        <v>269</v>
      </c>
      <c r="T478" s="398" t="s">
        <v>298</v>
      </c>
      <c r="U478" s="399">
        <v>30</v>
      </c>
      <c r="V478" s="400">
        <v>50</v>
      </c>
      <c r="W478" s="400">
        <v>45</v>
      </c>
    </row>
    <row r="479" spans="18:23" ht="15" customHeight="1" hidden="1">
      <c r="R479" s="398">
        <v>409</v>
      </c>
      <c r="S479" s="398" t="s">
        <v>263</v>
      </c>
      <c r="T479" s="398" t="s">
        <v>298</v>
      </c>
      <c r="U479" s="399">
        <v>30</v>
      </c>
      <c r="V479" s="400">
        <v>50</v>
      </c>
      <c r="W479" s="400">
        <v>45</v>
      </c>
    </row>
    <row r="480" spans="18:23" ht="15" customHeight="1" hidden="1">
      <c r="R480" s="398">
        <v>410</v>
      </c>
      <c r="S480" s="398" t="s">
        <v>264</v>
      </c>
      <c r="T480" s="398" t="s">
        <v>298</v>
      </c>
      <c r="U480" s="399">
        <v>30</v>
      </c>
      <c r="V480" s="400">
        <v>50</v>
      </c>
      <c r="W480" s="400">
        <v>45</v>
      </c>
    </row>
    <row r="481" spans="18:23" ht="15" customHeight="1" hidden="1">
      <c r="R481" s="398">
        <v>411</v>
      </c>
      <c r="S481" s="398" t="s">
        <v>254</v>
      </c>
      <c r="T481" s="398" t="s">
        <v>298</v>
      </c>
      <c r="U481" s="399">
        <v>30</v>
      </c>
      <c r="V481" s="400">
        <v>50</v>
      </c>
      <c r="W481" s="400">
        <v>45</v>
      </c>
    </row>
    <row r="482" spans="18:23" ht="15" customHeight="1" hidden="1">
      <c r="R482" s="398">
        <v>412</v>
      </c>
      <c r="S482" s="398" t="s">
        <v>259</v>
      </c>
      <c r="T482" s="398" t="s">
        <v>298</v>
      </c>
      <c r="U482" s="399">
        <v>40</v>
      </c>
      <c r="V482" s="400">
        <v>50</v>
      </c>
      <c r="W482" s="400">
        <v>45</v>
      </c>
    </row>
    <row r="483" spans="18:23" ht="15" customHeight="1" hidden="1">
      <c r="R483" s="398">
        <v>413</v>
      </c>
      <c r="S483" s="398" t="s">
        <v>266</v>
      </c>
      <c r="T483" s="398" t="s">
        <v>298</v>
      </c>
      <c r="U483" s="399">
        <v>30</v>
      </c>
      <c r="V483" s="400">
        <v>50</v>
      </c>
      <c r="W483" s="400">
        <v>45</v>
      </c>
    </row>
    <row r="484" spans="18:23" ht="15" customHeight="1" hidden="1">
      <c r="R484" s="398">
        <v>414</v>
      </c>
      <c r="S484" s="398" t="s">
        <v>260</v>
      </c>
      <c r="T484" s="398" t="s">
        <v>298</v>
      </c>
      <c r="U484" s="399">
        <v>30</v>
      </c>
      <c r="V484" s="400">
        <v>50</v>
      </c>
      <c r="W484" s="400">
        <v>45</v>
      </c>
    </row>
    <row r="485" spans="18:23" ht="15" customHeight="1" hidden="1">
      <c r="R485" s="398">
        <v>415</v>
      </c>
      <c r="S485" s="398" t="s">
        <v>258</v>
      </c>
      <c r="T485" s="404" t="s">
        <v>307</v>
      </c>
      <c r="U485" s="399">
        <v>40</v>
      </c>
      <c r="V485" s="400">
        <v>40</v>
      </c>
      <c r="W485" s="400">
        <v>30</v>
      </c>
    </row>
    <row r="486" spans="18:23" ht="15" customHeight="1" hidden="1">
      <c r="R486" s="398">
        <v>416</v>
      </c>
      <c r="S486" s="398" t="s">
        <v>267</v>
      </c>
      <c r="T486" s="404" t="s">
        <v>307</v>
      </c>
      <c r="U486" s="399">
        <v>40</v>
      </c>
      <c r="V486" s="400">
        <v>40</v>
      </c>
      <c r="W486" s="400">
        <v>30</v>
      </c>
    </row>
    <row r="487" spans="18:23" ht="15" customHeight="1" hidden="1">
      <c r="R487" s="398">
        <v>417</v>
      </c>
      <c r="S487" s="398" t="s">
        <v>271</v>
      </c>
      <c r="T487" s="404" t="s">
        <v>307</v>
      </c>
      <c r="U487" s="399">
        <v>40</v>
      </c>
      <c r="V487" s="400">
        <v>40</v>
      </c>
      <c r="W487" s="400">
        <v>30</v>
      </c>
    </row>
    <row r="488" spans="18:23" ht="15" customHeight="1" hidden="1">
      <c r="R488" s="398">
        <v>418</v>
      </c>
      <c r="S488" s="398" t="s">
        <v>256</v>
      </c>
      <c r="T488" s="404" t="s">
        <v>307</v>
      </c>
      <c r="U488" s="399">
        <v>40</v>
      </c>
      <c r="V488" s="400">
        <v>40</v>
      </c>
      <c r="W488" s="400">
        <v>30</v>
      </c>
    </row>
    <row r="489" spans="18:23" ht="15" customHeight="1" hidden="1">
      <c r="R489" s="398">
        <v>419</v>
      </c>
      <c r="S489" s="398" t="s">
        <v>255</v>
      </c>
      <c r="T489" s="404" t="s">
        <v>307</v>
      </c>
      <c r="U489" s="399">
        <v>40</v>
      </c>
      <c r="V489" s="400">
        <v>40</v>
      </c>
      <c r="W489" s="400">
        <v>30</v>
      </c>
    </row>
    <row r="490" spans="18:23" ht="15" customHeight="1" hidden="1">
      <c r="R490" s="398">
        <v>420</v>
      </c>
      <c r="S490" s="398" t="s">
        <v>265</v>
      </c>
      <c r="T490" s="404" t="s">
        <v>307</v>
      </c>
      <c r="U490" s="399">
        <v>40</v>
      </c>
      <c r="V490" s="400">
        <v>40</v>
      </c>
      <c r="W490" s="400">
        <v>30</v>
      </c>
    </row>
    <row r="491" spans="18:23" ht="15" customHeight="1" hidden="1">
      <c r="R491" s="398">
        <v>421</v>
      </c>
      <c r="S491" s="398" t="s">
        <v>257</v>
      </c>
      <c r="T491" s="404" t="s">
        <v>307</v>
      </c>
      <c r="U491" s="399">
        <v>40</v>
      </c>
      <c r="V491" s="400">
        <v>40</v>
      </c>
      <c r="W491" s="400">
        <v>30</v>
      </c>
    </row>
    <row r="492" spans="18:23" ht="15" customHeight="1" hidden="1">
      <c r="R492" s="398">
        <v>422</v>
      </c>
      <c r="S492" s="398" t="s">
        <v>262</v>
      </c>
      <c r="T492" s="404" t="s">
        <v>307</v>
      </c>
      <c r="U492" s="399">
        <v>40</v>
      </c>
      <c r="V492" s="400">
        <v>40</v>
      </c>
      <c r="W492" s="400">
        <v>30</v>
      </c>
    </row>
    <row r="493" spans="18:23" ht="15" customHeight="1" hidden="1">
      <c r="R493" s="398">
        <v>423</v>
      </c>
      <c r="S493" s="398" t="s">
        <v>270</v>
      </c>
      <c r="T493" s="404" t="s">
        <v>307</v>
      </c>
      <c r="U493" s="399">
        <v>40</v>
      </c>
      <c r="V493" s="400">
        <v>40</v>
      </c>
      <c r="W493" s="400">
        <v>30</v>
      </c>
    </row>
    <row r="494" spans="18:23" ht="15" customHeight="1" hidden="1">
      <c r="R494" s="398">
        <v>424</v>
      </c>
      <c r="S494" s="398" t="s">
        <v>261</v>
      </c>
      <c r="T494" s="404" t="s">
        <v>307</v>
      </c>
      <c r="U494" s="399">
        <v>40</v>
      </c>
      <c r="V494" s="400">
        <v>40</v>
      </c>
      <c r="W494" s="400">
        <v>30</v>
      </c>
    </row>
    <row r="495" spans="18:23" ht="15" customHeight="1" hidden="1">
      <c r="R495" s="398">
        <v>425</v>
      </c>
      <c r="S495" s="398" t="s">
        <v>268</v>
      </c>
      <c r="T495" s="404" t="s">
        <v>307</v>
      </c>
      <c r="U495" s="399">
        <v>40</v>
      </c>
      <c r="V495" s="400">
        <v>40</v>
      </c>
      <c r="W495" s="400">
        <v>30</v>
      </c>
    </row>
    <row r="496" spans="18:23" ht="15" customHeight="1" hidden="1">
      <c r="R496" s="398">
        <v>426</v>
      </c>
      <c r="S496" s="398" t="s">
        <v>269</v>
      </c>
      <c r="T496" s="404" t="s">
        <v>307</v>
      </c>
      <c r="U496" s="399">
        <v>40</v>
      </c>
      <c r="V496" s="400">
        <v>40</v>
      </c>
      <c r="W496" s="400">
        <v>30</v>
      </c>
    </row>
    <row r="497" spans="18:23" ht="15" customHeight="1" hidden="1">
      <c r="R497" s="398">
        <v>427</v>
      </c>
      <c r="S497" s="398" t="s">
        <v>263</v>
      </c>
      <c r="T497" s="404" t="s">
        <v>307</v>
      </c>
      <c r="U497" s="399">
        <v>40</v>
      </c>
      <c r="V497" s="400">
        <v>40</v>
      </c>
      <c r="W497" s="400">
        <v>30</v>
      </c>
    </row>
    <row r="498" spans="18:23" ht="15" customHeight="1" hidden="1">
      <c r="R498" s="398">
        <v>428</v>
      </c>
      <c r="S498" s="398" t="s">
        <v>264</v>
      </c>
      <c r="T498" s="404" t="s">
        <v>307</v>
      </c>
      <c r="U498" s="399">
        <v>40</v>
      </c>
      <c r="V498" s="400">
        <v>40</v>
      </c>
      <c r="W498" s="400">
        <v>30</v>
      </c>
    </row>
    <row r="499" spans="18:23" ht="15" customHeight="1" hidden="1">
      <c r="R499" s="398">
        <v>429</v>
      </c>
      <c r="S499" s="398" t="s">
        <v>254</v>
      </c>
      <c r="T499" s="404" t="s">
        <v>307</v>
      </c>
      <c r="U499" s="399">
        <v>40</v>
      </c>
      <c r="V499" s="400">
        <v>40</v>
      </c>
      <c r="W499" s="400">
        <v>30</v>
      </c>
    </row>
    <row r="500" spans="18:23" ht="15" customHeight="1" hidden="1">
      <c r="R500" s="398">
        <v>430</v>
      </c>
      <c r="S500" s="398" t="s">
        <v>259</v>
      </c>
      <c r="T500" s="404" t="s">
        <v>307</v>
      </c>
      <c r="U500" s="399">
        <v>40</v>
      </c>
      <c r="V500" s="400">
        <v>40</v>
      </c>
      <c r="W500" s="400">
        <v>30</v>
      </c>
    </row>
    <row r="501" spans="18:23" ht="15" customHeight="1" hidden="1">
      <c r="R501" s="398">
        <v>431</v>
      </c>
      <c r="S501" s="398" t="s">
        <v>266</v>
      </c>
      <c r="T501" s="404" t="s">
        <v>307</v>
      </c>
      <c r="U501" s="399">
        <v>40</v>
      </c>
      <c r="V501" s="400">
        <v>40</v>
      </c>
      <c r="W501" s="400">
        <v>30</v>
      </c>
    </row>
    <row r="502" spans="18:23" ht="15" customHeight="1" hidden="1">
      <c r="R502" s="398">
        <v>432</v>
      </c>
      <c r="S502" s="398" t="s">
        <v>260</v>
      </c>
      <c r="T502" s="404" t="s">
        <v>307</v>
      </c>
      <c r="U502" s="399">
        <v>40</v>
      </c>
      <c r="V502" s="400">
        <v>40</v>
      </c>
      <c r="W502" s="400">
        <v>30</v>
      </c>
    </row>
    <row r="503" spans="18:23" ht="15" customHeight="1" hidden="1">
      <c r="R503" s="398">
        <v>433</v>
      </c>
      <c r="S503" s="398" t="s">
        <v>258</v>
      </c>
      <c r="T503" s="398" t="s">
        <v>299</v>
      </c>
      <c r="U503" s="399">
        <v>10</v>
      </c>
      <c r="V503" s="400">
        <v>45</v>
      </c>
      <c r="W503" s="400">
        <v>40</v>
      </c>
    </row>
    <row r="504" spans="18:23" ht="15" customHeight="1" hidden="1">
      <c r="R504" s="398">
        <v>434</v>
      </c>
      <c r="S504" s="398" t="s">
        <v>267</v>
      </c>
      <c r="T504" s="398" t="s">
        <v>299</v>
      </c>
      <c r="U504" s="399">
        <v>10</v>
      </c>
      <c r="V504" s="400">
        <v>45</v>
      </c>
      <c r="W504" s="400">
        <v>40</v>
      </c>
    </row>
    <row r="505" spans="18:23" ht="15" customHeight="1" hidden="1">
      <c r="R505" s="398">
        <v>435</v>
      </c>
      <c r="S505" s="398" t="s">
        <v>271</v>
      </c>
      <c r="T505" s="398" t="s">
        <v>299</v>
      </c>
      <c r="U505" s="399">
        <v>10</v>
      </c>
      <c r="V505" s="400">
        <v>45</v>
      </c>
      <c r="W505" s="400">
        <v>40</v>
      </c>
    </row>
    <row r="506" spans="18:23" ht="15" customHeight="1" hidden="1">
      <c r="R506" s="398">
        <v>436</v>
      </c>
      <c r="S506" s="398" t="s">
        <v>256</v>
      </c>
      <c r="T506" s="398" t="s">
        <v>299</v>
      </c>
      <c r="U506" s="399">
        <v>10</v>
      </c>
      <c r="V506" s="400">
        <v>45</v>
      </c>
      <c r="W506" s="400">
        <v>40</v>
      </c>
    </row>
    <row r="507" spans="18:23" ht="15" customHeight="1" hidden="1">
      <c r="R507" s="398">
        <v>437</v>
      </c>
      <c r="S507" s="398" t="s">
        <v>255</v>
      </c>
      <c r="T507" s="398" t="s">
        <v>299</v>
      </c>
      <c r="U507" s="399">
        <v>10</v>
      </c>
      <c r="V507" s="400">
        <v>45</v>
      </c>
      <c r="W507" s="400">
        <v>40</v>
      </c>
    </row>
    <row r="508" spans="18:23" ht="15" customHeight="1" hidden="1">
      <c r="R508" s="398">
        <v>438</v>
      </c>
      <c r="S508" s="398" t="s">
        <v>265</v>
      </c>
      <c r="T508" s="398" t="s">
        <v>299</v>
      </c>
      <c r="U508" s="399">
        <v>10</v>
      </c>
      <c r="V508" s="400">
        <v>45</v>
      </c>
      <c r="W508" s="400">
        <v>40</v>
      </c>
    </row>
    <row r="509" spans="18:23" ht="15" customHeight="1" hidden="1">
      <c r="R509" s="398">
        <v>439</v>
      </c>
      <c r="S509" s="398" t="s">
        <v>257</v>
      </c>
      <c r="T509" s="398" t="s">
        <v>299</v>
      </c>
      <c r="U509" s="399">
        <v>10</v>
      </c>
      <c r="V509" s="400">
        <v>45</v>
      </c>
      <c r="W509" s="400">
        <v>40</v>
      </c>
    </row>
    <row r="510" spans="18:23" ht="15" customHeight="1" hidden="1">
      <c r="R510" s="398">
        <v>440</v>
      </c>
      <c r="S510" s="398" t="s">
        <v>262</v>
      </c>
      <c r="T510" s="398" t="s">
        <v>299</v>
      </c>
      <c r="U510" s="399">
        <v>10</v>
      </c>
      <c r="V510" s="400">
        <v>45</v>
      </c>
      <c r="W510" s="400">
        <v>40</v>
      </c>
    </row>
    <row r="511" spans="18:23" ht="15" customHeight="1" hidden="1">
      <c r="R511" s="398">
        <v>441</v>
      </c>
      <c r="S511" s="398" t="s">
        <v>270</v>
      </c>
      <c r="T511" s="398" t="s">
        <v>299</v>
      </c>
      <c r="U511" s="399">
        <v>10</v>
      </c>
      <c r="V511" s="400">
        <v>45</v>
      </c>
      <c r="W511" s="400">
        <v>40</v>
      </c>
    </row>
    <row r="512" spans="18:23" ht="15" customHeight="1" hidden="1">
      <c r="R512" s="398">
        <v>442</v>
      </c>
      <c r="S512" s="398" t="s">
        <v>261</v>
      </c>
      <c r="T512" s="398" t="s">
        <v>299</v>
      </c>
      <c r="U512" s="399">
        <v>10</v>
      </c>
      <c r="V512" s="400">
        <v>45</v>
      </c>
      <c r="W512" s="400">
        <v>40</v>
      </c>
    </row>
    <row r="513" spans="18:23" ht="15" customHeight="1" hidden="1">
      <c r="R513" s="398">
        <v>443</v>
      </c>
      <c r="S513" s="398" t="s">
        <v>268</v>
      </c>
      <c r="T513" s="398" t="s">
        <v>299</v>
      </c>
      <c r="U513" s="399">
        <v>10</v>
      </c>
      <c r="V513" s="400">
        <v>45</v>
      </c>
      <c r="W513" s="400">
        <v>40</v>
      </c>
    </row>
    <row r="514" spans="18:23" ht="15" customHeight="1" hidden="1">
      <c r="R514" s="398">
        <v>444</v>
      </c>
      <c r="S514" s="398" t="s">
        <v>269</v>
      </c>
      <c r="T514" s="398" t="s">
        <v>299</v>
      </c>
      <c r="U514" s="399">
        <v>10</v>
      </c>
      <c r="V514" s="400">
        <v>45</v>
      </c>
      <c r="W514" s="400">
        <v>40</v>
      </c>
    </row>
    <row r="515" spans="18:23" ht="15" customHeight="1" hidden="1">
      <c r="R515" s="398">
        <v>445</v>
      </c>
      <c r="S515" s="398" t="s">
        <v>263</v>
      </c>
      <c r="T515" s="398" t="s">
        <v>299</v>
      </c>
      <c r="U515" s="399">
        <v>10</v>
      </c>
      <c r="V515" s="400">
        <v>45</v>
      </c>
      <c r="W515" s="400">
        <v>40</v>
      </c>
    </row>
    <row r="516" spans="18:23" ht="15" customHeight="1" hidden="1">
      <c r="R516" s="398">
        <v>446</v>
      </c>
      <c r="S516" s="398" t="s">
        <v>264</v>
      </c>
      <c r="T516" s="398" t="s">
        <v>299</v>
      </c>
      <c r="U516" s="399">
        <v>10</v>
      </c>
      <c r="V516" s="400">
        <v>45</v>
      </c>
      <c r="W516" s="400">
        <v>40</v>
      </c>
    </row>
    <row r="517" spans="18:23" ht="15" customHeight="1" hidden="1">
      <c r="R517" s="398">
        <v>447</v>
      </c>
      <c r="S517" s="398" t="s">
        <v>254</v>
      </c>
      <c r="T517" s="398" t="s">
        <v>299</v>
      </c>
      <c r="U517" s="399">
        <v>10</v>
      </c>
      <c r="V517" s="400">
        <v>45</v>
      </c>
      <c r="W517" s="400">
        <v>40</v>
      </c>
    </row>
    <row r="518" spans="18:23" ht="15" customHeight="1" hidden="1">
      <c r="R518" s="398">
        <v>448</v>
      </c>
      <c r="S518" s="398" t="s">
        <v>259</v>
      </c>
      <c r="T518" s="398" t="s">
        <v>299</v>
      </c>
      <c r="U518" s="399">
        <v>20</v>
      </c>
      <c r="V518" s="400">
        <v>45</v>
      </c>
      <c r="W518" s="400">
        <v>40</v>
      </c>
    </row>
    <row r="519" spans="18:23" ht="15" customHeight="1" hidden="1">
      <c r="R519" s="398">
        <v>449</v>
      </c>
      <c r="S519" s="398" t="s">
        <v>266</v>
      </c>
      <c r="T519" s="398" t="s">
        <v>299</v>
      </c>
      <c r="U519" s="399">
        <v>10</v>
      </c>
      <c r="V519" s="400">
        <v>45</v>
      </c>
      <c r="W519" s="400">
        <v>40</v>
      </c>
    </row>
    <row r="520" spans="18:23" ht="15" customHeight="1" hidden="1">
      <c r="R520" s="398">
        <v>450</v>
      </c>
      <c r="S520" s="398" t="s">
        <v>260</v>
      </c>
      <c r="T520" s="398" t="s">
        <v>299</v>
      </c>
      <c r="U520" s="399">
        <v>10</v>
      </c>
      <c r="V520" s="400">
        <v>45</v>
      </c>
      <c r="W520" s="400">
        <v>40</v>
      </c>
    </row>
    <row r="521" spans="18:23" ht="15" customHeight="1" hidden="1">
      <c r="R521" s="398">
        <v>451</v>
      </c>
      <c r="S521" s="398" t="s">
        <v>258</v>
      </c>
      <c r="T521" s="398" t="s">
        <v>300</v>
      </c>
      <c r="U521" s="399">
        <v>10</v>
      </c>
      <c r="V521" s="400">
        <v>20</v>
      </c>
      <c r="W521" s="400">
        <v>30</v>
      </c>
    </row>
    <row r="522" spans="18:23" ht="15" customHeight="1" hidden="1">
      <c r="R522" s="398">
        <v>452</v>
      </c>
      <c r="S522" s="398" t="s">
        <v>267</v>
      </c>
      <c r="T522" s="398" t="s">
        <v>300</v>
      </c>
      <c r="U522" s="399">
        <v>10</v>
      </c>
      <c r="V522" s="400">
        <v>20</v>
      </c>
      <c r="W522" s="400">
        <v>30</v>
      </c>
    </row>
    <row r="523" spans="18:23" ht="15" customHeight="1" hidden="1">
      <c r="R523" s="398">
        <v>453</v>
      </c>
      <c r="S523" s="398" t="s">
        <v>271</v>
      </c>
      <c r="T523" s="398" t="s">
        <v>300</v>
      </c>
      <c r="U523" s="399">
        <v>10</v>
      </c>
      <c r="V523" s="400">
        <v>25</v>
      </c>
      <c r="W523" s="400">
        <v>30</v>
      </c>
    </row>
    <row r="524" spans="18:23" ht="15" customHeight="1" hidden="1">
      <c r="R524" s="398">
        <v>454</v>
      </c>
      <c r="S524" s="398" t="s">
        <v>256</v>
      </c>
      <c r="T524" s="398" t="s">
        <v>300</v>
      </c>
      <c r="U524" s="399">
        <v>10</v>
      </c>
      <c r="V524" s="400">
        <v>25</v>
      </c>
      <c r="W524" s="400">
        <v>30</v>
      </c>
    </row>
    <row r="525" spans="18:23" ht="15" customHeight="1" hidden="1">
      <c r="R525" s="398">
        <v>455</v>
      </c>
      <c r="S525" s="398" t="s">
        <v>255</v>
      </c>
      <c r="T525" s="398" t="s">
        <v>300</v>
      </c>
      <c r="U525" s="399">
        <v>10</v>
      </c>
      <c r="V525" s="400">
        <v>25</v>
      </c>
      <c r="W525" s="400">
        <v>30</v>
      </c>
    </row>
    <row r="526" spans="18:23" ht="15" customHeight="1" hidden="1">
      <c r="R526" s="398">
        <v>456</v>
      </c>
      <c r="S526" s="398" t="s">
        <v>265</v>
      </c>
      <c r="T526" s="398" t="s">
        <v>300</v>
      </c>
      <c r="U526" s="399">
        <v>10</v>
      </c>
      <c r="V526" s="400">
        <v>25</v>
      </c>
      <c r="W526" s="400">
        <v>30</v>
      </c>
    </row>
    <row r="527" spans="18:23" ht="15" customHeight="1" hidden="1">
      <c r="R527" s="398">
        <v>457</v>
      </c>
      <c r="S527" s="398" t="s">
        <v>257</v>
      </c>
      <c r="T527" s="398" t="s">
        <v>300</v>
      </c>
      <c r="U527" s="399">
        <v>10</v>
      </c>
      <c r="V527" s="400">
        <v>25</v>
      </c>
      <c r="W527" s="400">
        <v>30</v>
      </c>
    </row>
    <row r="528" spans="18:23" ht="15" customHeight="1" hidden="1">
      <c r="R528" s="398">
        <v>458</v>
      </c>
      <c r="S528" s="398" t="s">
        <v>262</v>
      </c>
      <c r="T528" s="398" t="s">
        <v>300</v>
      </c>
      <c r="U528" s="399">
        <v>10</v>
      </c>
      <c r="V528" s="400">
        <v>20</v>
      </c>
      <c r="W528" s="400">
        <v>30</v>
      </c>
    </row>
    <row r="529" spans="18:23" ht="15" customHeight="1" hidden="1">
      <c r="R529" s="398">
        <v>459</v>
      </c>
      <c r="S529" s="398" t="s">
        <v>270</v>
      </c>
      <c r="T529" s="398" t="s">
        <v>300</v>
      </c>
      <c r="U529" s="399">
        <v>10</v>
      </c>
      <c r="V529" s="400">
        <v>20</v>
      </c>
      <c r="W529" s="400">
        <v>30</v>
      </c>
    </row>
    <row r="530" spans="18:23" ht="15" customHeight="1" hidden="1">
      <c r="R530" s="398">
        <v>460</v>
      </c>
      <c r="S530" s="398" t="s">
        <v>261</v>
      </c>
      <c r="T530" s="398" t="s">
        <v>300</v>
      </c>
      <c r="U530" s="399">
        <v>10</v>
      </c>
      <c r="V530" s="400">
        <v>20</v>
      </c>
      <c r="W530" s="400">
        <v>30</v>
      </c>
    </row>
    <row r="531" spans="18:23" ht="15" customHeight="1" hidden="1">
      <c r="R531" s="398">
        <v>461</v>
      </c>
      <c r="S531" s="398" t="s">
        <v>268</v>
      </c>
      <c r="T531" s="398" t="s">
        <v>300</v>
      </c>
      <c r="U531" s="399">
        <v>10</v>
      </c>
      <c r="V531" s="400">
        <v>25</v>
      </c>
      <c r="W531" s="400">
        <v>30</v>
      </c>
    </row>
    <row r="532" spans="18:23" ht="15" customHeight="1" hidden="1">
      <c r="R532" s="398">
        <v>462</v>
      </c>
      <c r="S532" s="398" t="s">
        <v>269</v>
      </c>
      <c r="T532" s="398" t="s">
        <v>300</v>
      </c>
      <c r="U532" s="399">
        <v>10</v>
      </c>
      <c r="V532" s="400">
        <v>25</v>
      </c>
      <c r="W532" s="400">
        <v>30</v>
      </c>
    </row>
    <row r="533" spans="18:23" ht="15" customHeight="1" hidden="1">
      <c r="R533" s="398">
        <v>463</v>
      </c>
      <c r="S533" s="398" t="s">
        <v>263</v>
      </c>
      <c r="T533" s="398" t="s">
        <v>300</v>
      </c>
      <c r="U533" s="399">
        <v>10</v>
      </c>
      <c r="V533" s="400">
        <v>25</v>
      </c>
      <c r="W533" s="400">
        <v>30</v>
      </c>
    </row>
    <row r="534" spans="18:23" ht="15" customHeight="1" hidden="1">
      <c r="R534" s="398">
        <v>464</v>
      </c>
      <c r="S534" s="398" t="s">
        <v>264</v>
      </c>
      <c r="T534" s="398" t="s">
        <v>300</v>
      </c>
      <c r="U534" s="399">
        <v>10</v>
      </c>
      <c r="V534" s="400">
        <v>25</v>
      </c>
      <c r="W534" s="400">
        <v>30</v>
      </c>
    </row>
    <row r="535" spans="18:23" ht="15" customHeight="1" hidden="1">
      <c r="R535" s="398">
        <v>465</v>
      </c>
      <c r="S535" s="398" t="s">
        <v>254</v>
      </c>
      <c r="T535" s="398" t="s">
        <v>300</v>
      </c>
      <c r="U535" s="399">
        <v>10</v>
      </c>
      <c r="V535" s="400">
        <v>25</v>
      </c>
      <c r="W535" s="400">
        <v>30</v>
      </c>
    </row>
    <row r="536" spans="18:23" ht="15" customHeight="1" hidden="1">
      <c r="R536" s="398">
        <v>466</v>
      </c>
      <c r="S536" s="398" t="s">
        <v>259</v>
      </c>
      <c r="T536" s="398" t="s">
        <v>300</v>
      </c>
      <c r="U536" s="399">
        <v>10</v>
      </c>
      <c r="V536" s="400">
        <v>25</v>
      </c>
      <c r="W536" s="400">
        <v>30</v>
      </c>
    </row>
    <row r="537" spans="18:23" ht="15" customHeight="1" hidden="1">
      <c r="R537" s="398">
        <v>467</v>
      </c>
      <c r="S537" s="398" t="s">
        <v>266</v>
      </c>
      <c r="T537" s="398" t="s">
        <v>300</v>
      </c>
      <c r="U537" s="399">
        <v>10</v>
      </c>
      <c r="V537" s="400">
        <v>25</v>
      </c>
      <c r="W537" s="400">
        <v>30</v>
      </c>
    </row>
    <row r="538" spans="18:23" ht="15" customHeight="1" hidden="1">
      <c r="R538" s="398">
        <v>468</v>
      </c>
      <c r="S538" s="398" t="s">
        <v>260</v>
      </c>
      <c r="T538" s="398" t="s">
        <v>300</v>
      </c>
      <c r="U538" s="399">
        <v>10</v>
      </c>
      <c r="V538" s="400">
        <v>25</v>
      </c>
      <c r="W538" s="400">
        <v>30</v>
      </c>
    </row>
    <row r="539" spans="18:23" ht="15" customHeight="1" hidden="1">
      <c r="R539" s="398">
        <v>469</v>
      </c>
      <c r="S539" s="398" t="s">
        <v>258</v>
      </c>
      <c r="T539" s="398" t="s">
        <v>301</v>
      </c>
      <c r="U539" s="399">
        <v>10</v>
      </c>
      <c r="V539" s="399">
        <v>10</v>
      </c>
      <c r="W539" s="399">
        <v>10</v>
      </c>
    </row>
    <row r="540" spans="18:23" ht="15" customHeight="1" hidden="1">
      <c r="R540" s="398">
        <v>470</v>
      </c>
      <c r="S540" s="398" t="s">
        <v>267</v>
      </c>
      <c r="T540" s="398" t="s">
        <v>301</v>
      </c>
      <c r="U540" s="399">
        <v>10</v>
      </c>
      <c r="V540" s="399">
        <v>10</v>
      </c>
      <c r="W540" s="399">
        <v>10</v>
      </c>
    </row>
    <row r="541" spans="18:23" ht="15" customHeight="1" hidden="1">
      <c r="R541" s="398">
        <v>471</v>
      </c>
      <c r="S541" s="398" t="s">
        <v>271</v>
      </c>
      <c r="T541" s="398" t="s">
        <v>301</v>
      </c>
      <c r="U541" s="399">
        <v>10</v>
      </c>
      <c r="V541" s="399">
        <v>10</v>
      </c>
      <c r="W541" s="399">
        <v>10</v>
      </c>
    </row>
    <row r="542" spans="18:23" ht="15" customHeight="1" hidden="1">
      <c r="R542" s="398">
        <v>472</v>
      </c>
      <c r="S542" s="398" t="s">
        <v>256</v>
      </c>
      <c r="T542" s="398" t="s">
        <v>301</v>
      </c>
      <c r="U542" s="399">
        <v>10</v>
      </c>
      <c r="V542" s="399">
        <v>10</v>
      </c>
      <c r="W542" s="399">
        <v>10</v>
      </c>
    </row>
    <row r="543" spans="18:23" ht="15" customHeight="1" hidden="1">
      <c r="R543" s="398">
        <v>473</v>
      </c>
      <c r="S543" s="398" t="s">
        <v>255</v>
      </c>
      <c r="T543" s="398" t="s">
        <v>301</v>
      </c>
      <c r="U543" s="399">
        <v>10</v>
      </c>
      <c r="V543" s="399">
        <v>10</v>
      </c>
      <c r="W543" s="399">
        <v>10</v>
      </c>
    </row>
    <row r="544" spans="18:23" ht="15" customHeight="1" hidden="1">
      <c r="R544" s="398">
        <v>474</v>
      </c>
      <c r="S544" s="398" t="s">
        <v>265</v>
      </c>
      <c r="T544" s="398" t="s">
        <v>301</v>
      </c>
      <c r="U544" s="399">
        <v>10</v>
      </c>
      <c r="V544" s="399">
        <v>10</v>
      </c>
      <c r="W544" s="399">
        <v>10</v>
      </c>
    </row>
    <row r="545" spans="18:23" ht="15" customHeight="1" hidden="1">
      <c r="R545" s="398">
        <v>475</v>
      </c>
      <c r="S545" s="398" t="s">
        <v>257</v>
      </c>
      <c r="T545" s="398" t="s">
        <v>301</v>
      </c>
      <c r="U545" s="399">
        <v>10</v>
      </c>
      <c r="V545" s="399">
        <v>10</v>
      </c>
      <c r="W545" s="399">
        <v>10</v>
      </c>
    </row>
    <row r="546" spans="18:23" ht="15" customHeight="1" hidden="1">
      <c r="R546" s="398">
        <v>476</v>
      </c>
      <c r="S546" s="398" t="s">
        <v>262</v>
      </c>
      <c r="T546" s="398" t="s">
        <v>301</v>
      </c>
      <c r="U546" s="399">
        <v>10</v>
      </c>
      <c r="V546" s="399">
        <v>10</v>
      </c>
      <c r="W546" s="399">
        <v>10</v>
      </c>
    </row>
    <row r="547" spans="18:23" ht="15" customHeight="1" hidden="1">
      <c r="R547" s="398">
        <v>477</v>
      </c>
      <c r="S547" s="398" t="s">
        <v>270</v>
      </c>
      <c r="T547" s="398" t="s">
        <v>301</v>
      </c>
      <c r="U547" s="399">
        <v>10</v>
      </c>
      <c r="V547" s="399">
        <v>10</v>
      </c>
      <c r="W547" s="399">
        <v>10</v>
      </c>
    </row>
    <row r="548" spans="18:23" ht="15" customHeight="1" hidden="1">
      <c r="R548" s="398">
        <v>478</v>
      </c>
      <c r="S548" s="398" t="s">
        <v>261</v>
      </c>
      <c r="T548" s="398" t="s">
        <v>301</v>
      </c>
      <c r="U548" s="399">
        <v>10</v>
      </c>
      <c r="V548" s="399">
        <v>10</v>
      </c>
      <c r="W548" s="399">
        <v>10</v>
      </c>
    </row>
    <row r="549" spans="18:23" ht="15" customHeight="1" hidden="1">
      <c r="R549" s="398">
        <v>479</v>
      </c>
      <c r="S549" s="398" t="s">
        <v>268</v>
      </c>
      <c r="T549" s="398" t="s">
        <v>301</v>
      </c>
      <c r="U549" s="399">
        <v>10</v>
      </c>
      <c r="V549" s="399">
        <v>10</v>
      </c>
      <c r="W549" s="399">
        <v>10</v>
      </c>
    </row>
    <row r="550" spans="18:23" ht="15" customHeight="1" hidden="1">
      <c r="R550" s="398">
        <v>480</v>
      </c>
      <c r="S550" s="398" t="s">
        <v>269</v>
      </c>
      <c r="T550" s="398" t="s">
        <v>301</v>
      </c>
      <c r="U550" s="399">
        <v>10</v>
      </c>
      <c r="V550" s="399">
        <v>10</v>
      </c>
      <c r="W550" s="399">
        <v>10</v>
      </c>
    </row>
    <row r="551" spans="18:23" ht="15" customHeight="1" hidden="1">
      <c r="R551" s="398">
        <v>481</v>
      </c>
      <c r="S551" s="398" t="s">
        <v>263</v>
      </c>
      <c r="T551" s="398" t="s">
        <v>301</v>
      </c>
      <c r="U551" s="399">
        <v>10</v>
      </c>
      <c r="V551" s="399">
        <v>10</v>
      </c>
      <c r="W551" s="399">
        <v>10</v>
      </c>
    </row>
    <row r="552" spans="18:23" ht="15" customHeight="1" hidden="1">
      <c r="R552" s="398">
        <v>482</v>
      </c>
      <c r="S552" s="398" t="s">
        <v>264</v>
      </c>
      <c r="T552" s="398" t="s">
        <v>301</v>
      </c>
      <c r="U552" s="399">
        <v>10</v>
      </c>
      <c r="V552" s="399">
        <v>10</v>
      </c>
      <c r="W552" s="399">
        <v>10</v>
      </c>
    </row>
    <row r="553" spans="18:23" ht="15" customHeight="1" hidden="1">
      <c r="R553" s="398">
        <v>483</v>
      </c>
      <c r="S553" s="398" t="s">
        <v>254</v>
      </c>
      <c r="T553" s="398" t="s">
        <v>301</v>
      </c>
      <c r="U553" s="399">
        <v>10</v>
      </c>
      <c r="V553" s="399">
        <v>10</v>
      </c>
      <c r="W553" s="399">
        <v>10</v>
      </c>
    </row>
    <row r="554" spans="18:23" ht="15" customHeight="1" hidden="1">
      <c r="R554" s="398">
        <v>484</v>
      </c>
      <c r="S554" s="398" t="s">
        <v>259</v>
      </c>
      <c r="T554" s="398" t="s">
        <v>301</v>
      </c>
      <c r="U554" s="399">
        <v>10</v>
      </c>
      <c r="V554" s="399">
        <v>10</v>
      </c>
      <c r="W554" s="399">
        <v>10</v>
      </c>
    </row>
    <row r="555" spans="18:23" ht="15" customHeight="1" hidden="1">
      <c r="R555" s="398">
        <v>485</v>
      </c>
      <c r="S555" s="398" t="s">
        <v>266</v>
      </c>
      <c r="T555" s="398" t="s">
        <v>301</v>
      </c>
      <c r="U555" s="399">
        <v>10</v>
      </c>
      <c r="V555" s="399">
        <v>10</v>
      </c>
      <c r="W555" s="399">
        <v>10</v>
      </c>
    </row>
    <row r="556" spans="18:23" ht="15" customHeight="1" hidden="1">
      <c r="R556" s="398">
        <v>486</v>
      </c>
      <c r="S556" s="398" t="s">
        <v>260</v>
      </c>
      <c r="T556" s="398" t="s">
        <v>301</v>
      </c>
      <c r="U556" s="399">
        <v>10</v>
      </c>
      <c r="V556" s="399">
        <v>10</v>
      </c>
      <c r="W556" s="399">
        <v>10</v>
      </c>
    </row>
    <row r="557" spans="18:23" ht="15" customHeight="1" hidden="1">
      <c r="R557" s="398">
        <v>487</v>
      </c>
      <c r="S557" s="398" t="s">
        <v>258</v>
      </c>
      <c r="T557" s="405" t="s">
        <v>302</v>
      </c>
      <c r="U557" s="399">
        <v>10</v>
      </c>
      <c r="V557" s="399">
        <v>10</v>
      </c>
      <c r="W557" s="399">
        <v>10</v>
      </c>
    </row>
    <row r="558" spans="18:23" ht="15" customHeight="1" hidden="1">
      <c r="R558" s="398">
        <v>488</v>
      </c>
      <c r="S558" s="398" t="s">
        <v>267</v>
      </c>
      <c r="T558" s="405" t="s">
        <v>302</v>
      </c>
      <c r="U558" s="399">
        <v>10</v>
      </c>
      <c r="V558" s="399">
        <v>10</v>
      </c>
      <c r="W558" s="399">
        <v>10</v>
      </c>
    </row>
    <row r="559" spans="18:23" ht="15" customHeight="1" hidden="1">
      <c r="R559" s="398">
        <v>489</v>
      </c>
      <c r="S559" s="398" t="s">
        <v>271</v>
      </c>
      <c r="T559" s="405" t="s">
        <v>302</v>
      </c>
      <c r="U559" s="399">
        <v>10</v>
      </c>
      <c r="V559" s="399">
        <v>10</v>
      </c>
      <c r="W559" s="399">
        <v>10</v>
      </c>
    </row>
    <row r="560" spans="18:23" ht="15" customHeight="1" hidden="1">
      <c r="R560" s="398">
        <v>490</v>
      </c>
      <c r="S560" s="398" t="s">
        <v>256</v>
      </c>
      <c r="T560" s="405" t="s">
        <v>302</v>
      </c>
      <c r="U560" s="399">
        <v>10</v>
      </c>
      <c r="V560" s="399">
        <v>10</v>
      </c>
      <c r="W560" s="399">
        <v>10</v>
      </c>
    </row>
    <row r="561" spans="18:23" ht="15" customHeight="1" hidden="1">
      <c r="R561" s="398">
        <v>491</v>
      </c>
      <c r="S561" s="398" t="s">
        <v>255</v>
      </c>
      <c r="T561" s="405" t="s">
        <v>302</v>
      </c>
      <c r="U561" s="399">
        <v>10</v>
      </c>
      <c r="V561" s="399">
        <v>10</v>
      </c>
      <c r="W561" s="399">
        <v>10</v>
      </c>
    </row>
    <row r="562" spans="18:23" ht="15" customHeight="1" hidden="1">
      <c r="R562" s="398">
        <v>492</v>
      </c>
      <c r="S562" s="398" t="s">
        <v>265</v>
      </c>
      <c r="T562" s="405" t="s">
        <v>302</v>
      </c>
      <c r="U562" s="399">
        <v>10</v>
      </c>
      <c r="V562" s="399">
        <v>10</v>
      </c>
      <c r="W562" s="399">
        <v>10</v>
      </c>
    </row>
    <row r="563" spans="18:23" ht="15" customHeight="1" hidden="1">
      <c r="R563" s="398">
        <v>493</v>
      </c>
      <c r="S563" s="398" t="s">
        <v>257</v>
      </c>
      <c r="T563" s="405" t="s">
        <v>302</v>
      </c>
      <c r="U563" s="399">
        <v>10</v>
      </c>
      <c r="V563" s="399">
        <v>10</v>
      </c>
      <c r="W563" s="399">
        <v>10</v>
      </c>
    </row>
    <row r="564" spans="18:23" ht="15" customHeight="1" hidden="1">
      <c r="R564" s="398">
        <v>494</v>
      </c>
      <c r="S564" s="398" t="s">
        <v>262</v>
      </c>
      <c r="T564" s="405" t="s">
        <v>302</v>
      </c>
      <c r="U564" s="399">
        <v>10</v>
      </c>
      <c r="V564" s="399">
        <v>10</v>
      </c>
      <c r="W564" s="399">
        <v>10</v>
      </c>
    </row>
    <row r="565" spans="18:23" ht="15" customHeight="1" hidden="1">
      <c r="R565" s="398">
        <v>495</v>
      </c>
      <c r="S565" s="398" t="s">
        <v>270</v>
      </c>
      <c r="T565" s="405" t="s">
        <v>302</v>
      </c>
      <c r="U565" s="399">
        <v>10</v>
      </c>
      <c r="V565" s="399">
        <v>10</v>
      </c>
      <c r="W565" s="399">
        <v>10</v>
      </c>
    </row>
    <row r="566" spans="18:23" ht="15" customHeight="1" hidden="1">
      <c r="R566" s="398">
        <v>496</v>
      </c>
      <c r="S566" s="398" t="s">
        <v>261</v>
      </c>
      <c r="T566" s="405" t="s">
        <v>302</v>
      </c>
      <c r="U566" s="399">
        <v>10</v>
      </c>
      <c r="V566" s="399">
        <v>10</v>
      </c>
      <c r="W566" s="399">
        <v>10</v>
      </c>
    </row>
    <row r="567" spans="18:23" ht="15" customHeight="1" hidden="1">
      <c r="R567" s="398">
        <v>497</v>
      </c>
      <c r="S567" s="398" t="s">
        <v>268</v>
      </c>
      <c r="T567" s="405" t="s">
        <v>302</v>
      </c>
      <c r="U567" s="399">
        <v>10</v>
      </c>
      <c r="V567" s="399">
        <v>10</v>
      </c>
      <c r="W567" s="399">
        <v>10</v>
      </c>
    </row>
    <row r="568" spans="18:23" ht="15" customHeight="1" hidden="1">
      <c r="R568" s="398">
        <v>498</v>
      </c>
      <c r="S568" s="398" t="s">
        <v>269</v>
      </c>
      <c r="T568" s="405" t="s">
        <v>302</v>
      </c>
      <c r="U568" s="399">
        <v>10</v>
      </c>
      <c r="V568" s="399">
        <v>10</v>
      </c>
      <c r="W568" s="399">
        <v>10</v>
      </c>
    </row>
    <row r="569" spans="18:23" ht="15" customHeight="1" hidden="1">
      <c r="R569" s="398">
        <v>499</v>
      </c>
      <c r="S569" s="398" t="s">
        <v>263</v>
      </c>
      <c r="T569" s="405" t="s">
        <v>302</v>
      </c>
      <c r="U569" s="399">
        <v>10</v>
      </c>
      <c r="V569" s="399">
        <v>10</v>
      </c>
      <c r="W569" s="399">
        <v>10</v>
      </c>
    </row>
    <row r="570" spans="18:23" ht="15" customHeight="1" hidden="1">
      <c r="R570" s="398">
        <v>500</v>
      </c>
      <c r="S570" s="398" t="s">
        <v>264</v>
      </c>
      <c r="T570" s="405" t="s">
        <v>302</v>
      </c>
      <c r="U570" s="399">
        <v>10</v>
      </c>
      <c r="V570" s="399">
        <v>10</v>
      </c>
      <c r="W570" s="399">
        <v>10</v>
      </c>
    </row>
    <row r="571" spans="18:23" ht="15" customHeight="1" hidden="1">
      <c r="R571" s="398">
        <v>501</v>
      </c>
      <c r="S571" s="398" t="s">
        <v>254</v>
      </c>
      <c r="T571" s="405" t="s">
        <v>302</v>
      </c>
      <c r="U571" s="399">
        <v>10</v>
      </c>
      <c r="V571" s="399">
        <v>10</v>
      </c>
      <c r="W571" s="399">
        <v>10</v>
      </c>
    </row>
    <row r="572" spans="18:23" ht="15" customHeight="1" hidden="1">
      <c r="R572" s="398">
        <v>502</v>
      </c>
      <c r="S572" s="398" t="s">
        <v>259</v>
      </c>
      <c r="T572" s="405" t="s">
        <v>302</v>
      </c>
      <c r="U572" s="399">
        <v>10</v>
      </c>
      <c r="V572" s="399">
        <v>10</v>
      </c>
      <c r="W572" s="399">
        <v>10</v>
      </c>
    </row>
    <row r="573" spans="18:23" ht="15" customHeight="1" hidden="1">
      <c r="R573" s="398">
        <v>503</v>
      </c>
      <c r="S573" s="398" t="s">
        <v>266</v>
      </c>
      <c r="T573" s="405" t="s">
        <v>302</v>
      </c>
      <c r="U573" s="399">
        <v>10</v>
      </c>
      <c r="V573" s="399">
        <v>10</v>
      </c>
      <c r="W573" s="399">
        <v>10</v>
      </c>
    </row>
    <row r="574" spans="18:23" ht="15" customHeight="1" hidden="1">
      <c r="R574" s="398">
        <v>504</v>
      </c>
      <c r="S574" s="398" t="s">
        <v>260</v>
      </c>
      <c r="T574" s="405" t="s">
        <v>302</v>
      </c>
      <c r="U574" s="399">
        <v>10</v>
      </c>
      <c r="V574" s="399">
        <v>10</v>
      </c>
      <c r="W574" s="399">
        <v>10</v>
      </c>
    </row>
    <row r="575" spans="18:23" ht="15" customHeight="1" hidden="1">
      <c r="R575" s="398">
        <v>505</v>
      </c>
      <c r="S575" s="398" t="s">
        <v>258</v>
      </c>
      <c r="T575" s="398" t="s">
        <v>303</v>
      </c>
      <c r="U575" s="399">
        <v>30</v>
      </c>
      <c r="V575" s="400">
        <v>40</v>
      </c>
      <c r="W575" s="400">
        <v>40</v>
      </c>
    </row>
    <row r="576" spans="18:23" ht="15" customHeight="1" hidden="1">
      <c r="R576" s="398">
        <v>506</v>
      </c>
      <c r="S576" s="398" t="s">
        <v>267</v>
      </c>
      <c r="T576" s="398" t="s">
        <v>303</v>
      </c>
      <c r="U576" s="399">
        <v>30</v>
      </c>
      <c r="V576" s="400">
        <v>40</v>
      </c>
      <c r="W576" s="400">
        <v>40</v>
      </c>
    </row>
    <row r="577" spans="18:23" ht="15" customHeight="1" hidden="1">
      <c r="R577" s="398">
        <v>507</v>
      </c>
      <c r="S577" s="398" t="s">
        <v>271</v>
      </c>
      <c r="T577" s="398" t="s">
        <v>303</v>
      </c>
      <c r="U577" s="399">
        <v>30</v>
      </c>
      <c r="V577" s="400">
        <v>40</v>
      </c>
      <c r="W577" s="400">
        <v>40</v>
      </c>
    </row>
    <row r="578" spans="18:23" ht="15" customHeight="1" hidden="1">
      <c r="R578" s="398">
        <v>508</v>
      </c>
      <c r="S578" s="398" t="s">
        <v>256</v>
      </c>
      <c r="T578" s="398" t="s">
        <v>303</v>
      </c>
      <c r="U578" s="399">
        <v>30</v>
      </c>
      <c r="V578" s="400">
        <v>40</v>
      </c>
      <c r="W578" s="400">
        <v>40</v>
      </c>
    </row>
    <row r="579" spans="18:23" ht="15" customHeight="1" hidden="1">
      <c r="R579" s="398">
        <v>509</v>
      </c>
      <c r="S579" s="398" t="s">
        <v>255</v>
      </c>
      <c r="T579" s="398" t="s">
        <v>303</v>
      </c>
      <c r="U579" s="399">
        <v>30</v>
      </c>
      <c r="V579" s="400">
        <v>40</v>
      </c>
      <c r="W579" s="400">
        <v>40</v>
      </c>
    </row>
    <row r="580" spans="18:23" ht="15" customHeight="1" hidden="1">
      <c r="R580" s="398">
        <v>510</v>
      </c>
      <c r="S580" s="398" t="s">
        <v>265</v>
      </c>
      <c r="T580" s="398" t="s">
        <v>303</v>
      </c>
      <c r="U580" s="399">
        <v>30</v>
      </c>
      <c r="V580" s="400">
        <v>40</v>
      </c>
      <c r="W580" s="400">
        <v>40</v>
      </c>
    </row>
    <row r="581" spans="18:23" ht="15" customHeight="1" hidden="1">
      <c r="R581" s="398">
        <v>511</v>
      </c>
      <c r="S581" s="398" t="s">
        <v>257</v>
      </c>
      <c r="T581" s="398" t="s">
        <v>303</v>
      </c>
      <c r="U581" s="399">
        <v>30</v>
      </c>
      <c r="V581" s="400">
        <v>40</v>
      </c>
      <c r="W581" s="400">
        <v>40</v>
      </c>
    </row>
    <row r="582" spans="18:23" ht="15" customHeight="1" hidden="1">
      <c r="R582" s="398">
        <v>512</v>
      </c>
      <c r="S582" s="398" t="s">
        <v>262</v>
      </c>
      <c r="T582" s="398" t="s">
        <v>303</v>
      </c>
      <c r="U582" s="399">
        <v>30</v>
      </c>
      <c r="V582" s="400">
        <v>40</v>
      </c>
      <c r="W582" s="400">
        <v>40</v>
      </c>
    </row>
    <row r="583" spans="18:23" ht="15" customHeight="1" hidden="1">
      <c r="R583" s="398">
        <v>513</v>
      </c>
      <c r="S583" s="398" t="s">
        <v>270</v>
      </c>
      <c r="T583" s="398" t="s">
        <v>303</v>
      </c>
      <c r="U583" s="399">
        <v>30</v>
      </c>
      <c r="V583" s="400">
        <v>40</v>
      </c>
      <c r="W583" s="400">
        <v>40</v>
      </c>
    </row>
    <row r="584" spans="18:23" ht="15" customHeight="1" hidden="1">
      <c r="R584" s="398">
        <v>514</v>
      </c>
      <c r="S584" s="398" t="s">
        <v>261</v>
      </c>
      <c r="T584" s="398" t="s">
        <v>303</v>
      </c>
      <c r="U584" s="399">
        <v>30</v>
      </c>
      <c r="V584" s="400">
        <v>40</v>
      </c>
      <c r="W584" s="400">
        <v>40</v>
      </c>
    </row>
    <row r="585" spans="18:23" ht="15" customHeight="1" hidden="1">
      <c r="R585" s="398">
        <v>515</v>
      </c>
      <c r="S585" s="398" t="s">
        <v>268</v>
      </c>
      <c r="T585" s="398" t="s">
        <v>303</v>
      </c>
      <c r="U585" s="399">
        <v>30</v>
      </c>
      <c r="V585" s="400">
        <v>40</v>
      </c>
      <c r="W585" s="400">
        <v>40</v>
      </c>
    </row>
    <row r="586" spans="18:23" ht="15" customHeight="1" hidden="1">
      <c r="R586" s="398">
        <v>516</v>
      </c>
      <c r="S586" s="398" t="s">
        <v>269</v>
      </c>
      <c r="T586" s="398" t="s">
        <v>303</v>
      </c>
      <c r="U586" s="399">
        <v>30</v>
      </c>
      <c r="V586" s="400">
        <v>40</v>
      </c>
      <c r="W586" s="400">
        <v>40</v>
      </c>
    </row>
    <row r="587" spans="18:23" ht="15" customHeight="1" hidden="1">
      <c r="R587" s="398">
        <v>517</v>
      </c>
      <c r="S587" s="398" t="s">
        <v>263</v>
      </c>
      <c r="T587" s="398" t="s">
        <v>303</v>
      </c>
      <c r="U587" s="399">
        <v>30</v>
      </c>
      <c r="V587" s="400">
        <v>40</v>
      </c>
      <c r="W587" s="400">
        <v>40</v>
      </c>
    </row>
    <row r="588" spans="18:23" ht="15" customHeight="1" hidden="1">
      <c r="R588" s="398">
        <v>518</v>
      </c>
      <c r="S588" s="398" t="s">
        <v>264</v>
      </c>
      <c r="T588" s="398" t="s">
        <v>303</v>
      </c>
      <c r="U588" s="399">
        <v>30</v>
      </c>
      <c r="V588" s="400">
        <v>40</v>
      </c>
      <c r="W588" s="400">
        <v>40</v>
      </c>
    </row>
    <row r="589" spans="18:23" ht="15" customHeight="1" hidden="1">
      <c r="R589" s="398">
        <v>519</v>
      </c>
      <c r="S589" s="398" t="s">
        <v>254</v>
      </c>
      <c r="T589" s="398" t="s">
        <v>303</v>
      </c>
      <c r="U589" s="399">
        <v>30</v>
      </c>
      <c r="V589" s="400">
        <v>40</v>
      </c>
      <c r="W589" s="400">
        <v>40</v>
      </c>
    </row>
    <row r="590" spans="18:23" ht="15" customHeight="1" hidden="1">
      <c r="R590" s="398">
        <v>520</v>
      </c>
      <c r="S590" s="398" t="s">
        <v>259</v>
      </c>
      <c r="T590" s="398" t="s">
        <v>303</v>
      </c>
      <c r="U590" s="399">
        <v>30</v>
      </c>
      <c r="V590" s="400">
        <v>40</v>
      </c>
      <c r="W590" s="400">
        <v>40</v>
      </c>
    </row>
    <row r="591" spans="18:23" ht="15" customHeight="1" hidden="1">
      <c r="R591" s="398">
        <v>521</v>
      </c>
      <c r="S591" s="398" t="s">
        <v>266</v>
      </c>
      <c r="T591" s="398" t="s">
        <v>303</v>
      </c>
      <c r="U591" s="399">
        <v>30</v>
      </c>
      <c r="V591" s="400">
        <v>40</v>
      </c>
      <c r="W591" s="400">
        <v>40</v>
      </c>
    </row>
    <row r="592" spans="18:23" ht="15" customHeight="1" hidden="1">
      <c r="R592" s="398">
        <v>522</v>
      </c>
      <c r="S592" s="398" t="s">
        <v>260</v>
      </c>
      <c r="T592" s="398" t="s">
        <v>303</v>
      </c>
      <c r="U592" s="399">
        <v>30</v>
      </c>
      <c r="V592" s="400">
        <v>40</v>
      </c>
      <c r="W592" s="400">
        <v>40</v>
      </c>
    </row>
  </sheetData>
  <sheetProtection password="CE28" sheet="1" selectLockedCells="1"/>
  <mergeCells count="109">
    <mergeCell ref="D3:I3"/>
    <mergeCell ref="D18:I18"/>
    <mergeCell ref="G19:H19"/>
    <mergeCell ref="B21:J21"/>
    <mergeCell ref="C3:C20"/>
    <mergeCell ref="B66:J66"/>
    <mergeCell ref="D63:G63"/>
    <mergeCell ref="D64:F64"/>
    <mergeCell ref="D53:G53"/>
    <mergeCell ref="D54:F54"/>
    <mergeCell ref="B67:J67"/>
    <mergeCell ref="O13:P13"/>
    <mergeCell ref="M4:M7"/>
    <mergeCell ref="M9:M14"/>
    <mergeCell ref="M16:M21"/>
    <mergeCell ref="O20:P20"/>
    <mergeCell ref="D59:G59"/>
    <mergeCell ref="D60:G60"/>
    <mergeCell ref="D61:G61"/>
    <mergeCell ref="D62:G62"/>
    <mergeCell ref="D55:G55"/>
    <mergeCell ref="D56:G56"/>
    <mergeCell ref="D57:G57"/>
    <mergeCell ref="D58:G58"/>
    <mergeCell ref="D47:G47"/>
    <mergeCell ref="D48:G48"/>
    <mergeCell ref="D49:G49"/>
    <mergeCell ref="D50:G50"/>
    <mergeCell ref="D51:G51"/>
    <mergeCell ref="D52:G52"/>
    <mergeCell ref="D42:G42"/>
    <mergeCell ref="N42:O42"/>
    <mergeCell ref="D43:G43"/>
    <mergeCell ref="D44:G44"/>
    <mergeCell ref="D45:G45"/>
    <mergeCell ref="D46:G46"/>
    <mergeCell ref="D39:F39"/>
    <mergeCell ref="H39:I39"/>
    <mergeCell ref="N39:O39"/>
    <mergeCell ref="D40:I40"/>
    <mergeCell ref="N40:O40"/>
    <mergeCell ref="D41:G41"/>
    <mergeCell ref="N41:O41"/>
    <mergeCell ref="D37:F37"/>
    <mergeCell ref="H37:I37"/>
    <mergeCell ref="N37:O37"/>
    <mergeCell ref="D38:F38"/>
    <mergeCell ref="H38:I38"/>
    <mergeCell ref="N38:O38"/>
    <mergeCell ref="D35:F35"/>
    <mergeCell ref="H35:I35"/>
    <mergeCell ref="N35:O35"/>
    <mergeCell ref="D36:F36"/>
    <mergeCell ref="H36:I36"/>
    <mergeCell ref="N36:O36"/>
    <mergeCell ref="D33:F33"/>
    <mergeCell ref="H33:I33"/>
    <mergeCell ref="N33:O33"/>
    <mergeCell ref="D34:F34"/>
    <mergeCell ref="H34:I34"/>
    <mergeCell ref="N34:O34"/>
    <mergeCell ref="D31:F31"/>
    <mergeCell ref="H31:I31"/>
    <mergeCell ref="N31:O31"/>
    <mergeCell ref="D32:F32"/>
    <mergeCell ref="H32:I32"/>
    <mergeCell ref="N32:O32"/>
    <mergeCell ref="D29:F29"/>
    <mergeCell ref="H29:I29"/>
    <mergeCell ref="N29:O29"/>
    <mergeCell ref="D30:F30"/>
    <mergeCell ref="H30:I30"/>
    <mergeCell ref="N30:O30"/>
    <mergeCell ref="B24:K24"/>
    <mergeCell ref="B25:K25"/>
    <mergeCell ref="B26:K26"/>
    <mergeCell ref="C27:K27"/>
    <mergeCell ref="N27:P27"/>
    <mergeCell ref="D12:D13"/>
    <mergeCell ref="E12:E13"/>
    <mergeCell ref="F12:F13"/>
    <mergeCell ref="G12:H13"/>
    <mergeCell ref="I12:I13"/>
    <mergeCell ref="M2:P2"/>
    <mergeCell ref="D14:I14"/>
    <mergeCell ref="G15:H15"/>
    <mergeCell ref="D16:D17"/>
    <mergeCell ref="E16:E17"/>
    <mergeCell ref="F16:F17"/>
    <mergeCell ref="G16:H17"/>
    <mergeCell ref="I16:I17"/>
    <mergeCell ref="D10:I10"/>
    <mergeCell ref="G11:H11"/>
    <mergeCell ref="G7:H7"/>
    <mergeCell ref="D8:D9"/>
    <mergeCell ref="E8:E9"/>
    <mergeCell ref="F8:F9"/>
    <mergeCell ref="G8:H9"/>
    <mergeCell ref="I8:I9"/>
    <mergeCell ref="Z39:AH39"/>
    <mergeCell ref="AJ39:AR39"/>
    <mergeCell ref="C2:F2"/>
    <mergeCell ref="G2:H2"/>
    <mergeCell ref="I2:K2"/>
    <mergeCell ref="D4:I4"/>
    <mergeCell ref="J4:J20"/>
    <mergeCell ref="E5:F5"/>
    <mergeCell ref="G5:H5"/>
    <mergeCell ref="D6:I6"/>
  </mergeCells>
  <dataValidations count="26">
    <dataValidation type="decimal" allowBlank="1" showInputMessage="1" showErrorMessage="1" errorTitle="RTI Maximum Discount" error="Please Reduce the RTI Discount ..." sqref="P7">
      <formula1>0</formula1>
      <formula2>I16</formula2>
    </dataValidation>
    <dataValidation type="decimal" allowBlank="1" showInputMessage="1" showErrorMessage="1" errorTitle="NDP Maximum Discount" error="Please Reduce the NDP Discount ..." sqref="O7">
      <formula1>0</formula1>
      <formula2>MIN(I16,40)</formula2>
    </dataValidation>
    <dataValidation type="whole" allowBlank="1" showErrorMessage="1" promptTitle="CNG / LPG Kit Value" prompt="&#10;# If Liability only Policy is taken for, Coverage for Loss/Damage to Kit is not Available&#10;&#10;# If Package Policy is taken, Cost of such Kit shall also be covered on paying stipulated Premium alongwith Legal Laibility Premium @ Rs.60/-" sqref="I12">
      <formula1>0</formula1>
      <formula2>IF(G12="Yes",MAX(D9*10%),0)</formula2>
    </dataValidation>
    <dataValidation type="list" allowBlank="1" showInputMessage="1" showErrorMessage="1" sqref="N7">
      <formula1>"Imported,Indigenous"</formula1>
    </dataValidation>
    <dataValidation type="list" allowBlank="1" showInputMessage="1" showErrorMessage="1" sqref="N6">
      <formula1>"Fuel - Diesel,Fuel - Others"</formula1>
    </dataValidation>
    <dataValidation type="list" operator="equal" showErrorMessage="1" promptTitle="Nill Depreciation Policy Cover" prompt="&#10;# No Depr Deducted, Except a Std Pol Excess for Each/Every Claim&#10;&#10;# IMT-23 is Comp for &gt; 6&#10;&#10;# Cover Avb: Taxies &lt; 6 Pass &lt; 5 Yrs, PCCVs &gt; 6 Pass &lt; 10 Yrs, Subj to a satisfactory Veh Insp&#10;&#10;# NDP Not Avb for 3 Wh&#10;&#10;# 5% Disc, if renewed with same U/w Unit" sqref="N5">
      <formula1>"Yes-Required,No-Not Required"</formula1>
    </dataValidation>
    <dataValidation type="list" operator="equal" showErrorMessage="1" promptTitle="Nill Depreciation Policy Cover" prompt="&#10;# No Depr Deducted, Except a Std Pol Excess for Each/Every Claim&#10;&#10;# IMT-23 is Comp for &gt; 6&#10;&#10;# Cover Avb: Taxies &lt; 6 Pass &lt; 5 Yrs, PCCVs &gt; 6 Pass &lt; 10 Yrs, Subj to a satisfactory Veh Insp&#10;&#10;# NDP Not Avb for 3 Wh&#10;&#10;# 5% Disc, if renewed with same U/w Unit" sqref="O5">
      <formula1>RTIPVT</formula1>
    </dataValidation>
    <dataValidation type="list" operator="equal" showErrorMessage="1" promptTitle="Nill Depreciation Policy Cover" prompt="&#10;# No Depr Deducted, Except a Std Pol Excess for Each/Every Claim&#10;&#10;# IMT-23 is Comp for &gt; 6&#10;&#10;# Cover Avb: Taxies &lt; 6 Pass &lt; 5 Yrs, PCCVs &gt; 6 Pass &lt; 10 Yrs, Subj to a satisfactory Veh Insp&#10;&#10;# NDP Not Avb for 3 Wh&#10;&#10;# 5% Disc, if renewed with same U/w Unit" sqref="P5">
      <formula1>RTIPVT</formula1>
    </dataValidation>
    <dataValidation type="decimal" allowBlank="1" showErrorMessage="1" promptTitle="Underwriting / Detariff Discount" prompt="&#10;# Field Permits the Users, to give a Max of 81% Discount on OD Part of Premium&#10;&#10;# Subject to computation of Minimum OD Part of Premium&#10;&#10;# To be followed by our Co's Discount Pattern from time to time" errorTitle="U/w Discount" error="Please Enter the Discount %age Correctly (Max 93.69%), to validate this Field" sqref="I16:I17">
      <formula1>0</formula1>
      <formula2>93.69</formula2>
    </dataValidation>
    <dataValidation type="list" allowBlank="1" showInputMessage="1" showErrorMessage="1" sqref="G19:H19">
      <formula1>"Limited,Wider"</formula1>
    </dataValidation>
    <dataValidation type="list" allowBlank="1" showInputMessage="1" showErrorMessage="1" sqref="E19">
      <formula1>"Yes,No"</formula1>
    </dataValidation>
    <dataValidation type="list" allowBlank="1" showErrorMessage="1" promptTitle="CNG / LPG Kit" prompt="&#10;# Must be Declared, if RC / Veh is endorsed for Bi-Fuel, duly fitted with CNG/LPG Kit&#10;&#10;# Pay an Additional Premium of Rs.60/- towards Legal Liability for both Liability Only and Package Policies&#10;&#10;# Coverage for Kit value is Avb only with Package Policy" sqref="G12">
      <formula1>"Yes,No"</formula1>
    </dataValidation>
    <dataValidation type="list" allowBlank="1" showErrorMessage="1" promptTitle="Cubic Capacity of the Vehicle" prompt="&#10;# Mention correct Cubic Capacity of the Vehicle to get the correct premium as the CC is the Prime Rating Factor for Both Liab and Package Policies&#10;&#10;# Hence, mention the correct Cubic Capacity of the Vehicle as per the Vehicle's Registration Certificate" sqref="G8:H9">
      <formula1>$AC$13:$AC$16</formula1>
    </dataValidation>
    <dataValidation type="list" operator="equal" showErrorMessage="1" promptTitle="Zone of Registration / Operation" prompt="&#10;# Zone means, Zone of Registration&#10;&#10;# Even though, plying area, normally to be considered, as facts reveal, Zone - A is more claims prone&#10;&#10;# Zone A: New Delhi, Kolkota, Mumbai, Chennai, Hyderabad, Pune, Bengaluru, Ahmedabad&#10;&#10;# Zone B: Rest of India (ROI)" sqref="I8:I9">
      <formula1>"Zone:  A,Zone:  B"</formula1>
    </dataValidation>
    <dataValidation type="whole" allowBlank="1" showErrorMessage="1" promptTitle="Fixing of IDV / Sum Insured:" prompt="&#10;# IDV has to be fixed (Depr from Invoice Price), as per IMT Provision upto 5 Years&#10;&#10;# Sum Ins is to be Arrived at / Agreed for, as per the Mutual Consent, between the Insured / Insurer, for Vehs' Abv 5 Yrs Age&#10;&#10;# Minimum Sum Insured is Rs.30,000/-" errorTitle="Sum Insured" error="Please Enter the Data Correctly, to validate the Field" sqref="D12">
      <formula1>30000</formula1>
      <formula2>999999999</formula2>
    </dataValidation>
    <dataValidation type="list" operator="equal" showErrorMessage="1" promptTitle="Coverage Option" prompt="&#10;# Package Policy gives Own Damage Benefit to Vehicle and Third Parties&#10;&#10;# Liability Only Policy Benefits only for the Third Parties" sqref="I5">
      <formula1>$S$4:$S$6</formula1>
    </dataValidation>
    <dataValidation errorStyle="warning" type="whole" allowBlank="1" promptTitle="Name of the Registered Owner" prompt="&#10;# It is Relevant only, when the following occasions:&#10;&#10;# While output of the quote is printed on paper and to be presented the same to the client as a Premium Quote&#10;&#10;# While capturing relevant details through E-Quote and sending E-mail to Client" sqref="E5:F5">
      <formula1>0</formula1>
      <formula2>9999999</formula2>
    </dataValidation>
    <dataValidation errorStyle="warning" type="whole" allowBlank="1" promptTitle="Make and Model of the Vehicle" prompt="&#10;# It is Relevant only, when the following occasions:&#10;&#10;# While output of the quote is printed on paper and to be presented the same to the client as a Premium Quote&#10;&#10;# While capturing relevant details through E-Quote and sending E-mail to Client" sqref="E8:F8">
      <formula1>5000</formula1>
      <formula2>999999999</formula2>
    </dataValidation>
    <dataValidation errorStyle="warning" type="whole" allowBlank="1" promptTitle="Registration Number of Vehicle" prompt="&#10;# It is Relevant only, when the following occasions:&#10;&#10;# While output of the quote is printed on paper and to be presented the same to the client as a Premium Quote&#10;&#10;# While capturing relevant details through E-Quote and sending E-mail to Client" sqref="D8">
      <formula1>5000</formula1>
      <formula2>999999999</formula2>
    </dataValidation>
    <dataValidation type="whole" allowBlank="1" showErrorMessage="1" promptTitle="Electrial/Electronic Accessories" prompt="&#10;# The Equipment shall only be covered, if opted for Package Policy&#10;&#10;# Value of Equipment shall have to be shown separately&#10;&#10;# Premium to be paid @ 4%, on such a value, regardless of Age/Zone/Class" errorTitle="Sum Insured" error="Please Enter the Data Correctly, to validate the Field" sqref="E12:F12">
      <formula1>0</formula1>
      <formula2>9999999</formula2>
    </dataValidation>
    <dataValidation type="list" allowBlank="1" showErrorMessage="1" promptTitle="No Claim Bonus shall be granted:" prompt="&#10;# Expiry of Prev Policy must be with in 90 Days&#10;&#10;# There should not be any Claim in the Previous Policy&#10;&#10;# Ownership shall also be same as the Previous Policy&#10;&#10;# Basis: Renewal Notice or No Claim Declaration by the Insured" sqref="G16">
      <formula1>NCB</formula1>
    </dataValidation>
    <dataValidation operator="equal" allowBlank="1" showErrorMessage="1" errorTitle="Sum Insured" error="Please Enter the Data Correctly, to validate the Field" sqref="H33:H36">
      <formula1>0</formula1>
    </dataValidation>
    <dataValidation type="list" operator="equal" showErrorMessage="1" promptTitle="Un-Named PA: Occupants" prompt="&#10;# Add-On Cover, to be paid for all the Occupants, Excl Driver&#10;&#10;# Ranging from 10,000 to 2,00,000 each, with an increment of 10,000&#10;&#10;# Claim shall be paid for, Accidental Death, Loss of Organs, PTD, during the course of travel, on the Vehicle Insured" sqref="F16">
      <formula1>Unnamed</formula1>
    </dataValidation>
    <dataValidation type="whole" allowBlank="1" showErrorMessage="1" promptTitle="Registered Seating Capacity" prompt="&#10;# To be Mentioned Registered Seating Capacity As per the Reg. Certificate of Vehicle, Excluding the Driver&#10;&#10;# For Example: 5+1 Means, Five Occupants Plus Driver&#10;&#10;# Un-Named PA, if any is opted for, Premium multiplied as Seating Cap X PA Sum per Person" sqref="E16">
      <formula1>3</formula1>
      <formula2>999</formula2>
    </dataValidation>
    <dataValidation type="list" allowBlank="1" showInputMessage="1" showErrorMessage="1" sqref="I19">
      <formula1>"Anti Theft - Yes,Anti Theft - No"</formula1>
    </dataValidation>
    <dataValidation type="list" allowBlank="1" showErrorMessage="1" promptTitle="Compulsory PA: Owner-cum-Driver" prompt="&#10;# Rs.2,00,000/- PA Cover for Registered Owner of the Vehicle&#10;&#10;# Cover can be opted-out only, if Regd on Firm's Name and also if the Owner is not having a valid Driving License&#10;&#10;# On Option of Cover, Rs.100/- shall be added to the TP Part of Premium" sqref="D16:D17">
      <formula1>$W$16:$W$18</formula1>
    </dataValidation>
  </dataValidations>
  <printOptions horizontalCentered="1" verticalCentered="1"/>
  <pageMargins left="0.5" right="0.5" top="0.4" bottom="0.4" header="0.3" footer="0.3"/>
  <pageSetup fitToHeight="1" fitToWidth="1"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Lingachari</dc:creator>
  <cp:keywords/>
  <dc:description/>
  <cp:lastModifiedBy>MADHES-PC</cp:lastModifiedBy>
  <cp:lastPrinted>2018-09-28T16:02:40Z</cp:lastPrinted>
  <dcterms:created xsi:type="dcterms:W3CDTF">2016-09-28T03:21:12Z</dcterms:created>
  <dcterms:modified xsi:type="dcterms:W3CDTF">2019-01-04T04:15:44Z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