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69" activeTab="16"/>
  </bookViews>
  <sheets>
    <sheet name="HyperLink" sheetId="1" r:id="rId1"/>
    <sheet name="NCB" sheetId="2" r:id="rId2"/>
    <sheet name="2 Wheeler" sheetId="3" r:id="rId3"/>
    <sheet name="MCCAL" sheetId="4" state="hidden" r:id="rId4"/>
    <sheet name="MCT" sheetId="5" state="hidden" r:id="rId5"/>
    <sheet name="Pvt.Car" sheetId="6" r:id="rId6"/>
    <sheet name="CARCAL" sheetId="7" state="hidden" r:id="rId7"/>
    <sheet name="CART" sheetId="8" state="hidden" r:id="rId8"/>
    <sheet name="GCCV_Public" sheetId="9" r:id="rId9"/>
    <sheet name="GCCV_Private" sheetId="10" r:id="rId10"/>
    <sheet name="GCCV 3W Public" sheetId="11" r:id="rId11"/>
    <sheet name="GCCV 3W Private" sheetId="12" r:id="rId12"/>
    <sheet name="PCCVT" sheetId="13" state="hidden" r:id="rId13"/>
    <sheet name="PCCV 3W up to 6 P" sheetId="14" r:id="rId14"/>
    <sheet name="PCCV 4W Up To 6 P" sheetId="15" r:id="rId15"/>
    <sheet name="PCCV 3W 7 TO 17 P" sheetId="16" r:id="rId16"/>
    <sheet name="PCCV Maxi &amp; Bus" sheetId="17" r:id="rId17"/>
    <sheet name="Database" sheetId="18" state="hidden" r:id="rId18"/>
    <sheet name="Misc  Class D" sheetId="19" r:id="rId19"/>
    <sheet name="PCCVCAL" sheetId="20" state="hidden" r:id="rId20"/>
    <sheet name="Database1" sheetId="21" state="hidden" r:id="rId21"/>
    <sheet name="Database2" sheetId="22" state="hidden" r:id="rId22"/>
    <sheet name="Database 2" sheetId="23" state="hidden" r:id="rId23"/>
  </sheets>
  <definedNames>
    <definedName name="_xlnm.Print_Area" localSheetId="2">'2 Wheeler'!$A$1:$G$37</definedName>
    <definedName name="_xlnm.Print_Area" localSheetId="11">'GCCV 3W Private'!$A$1:$G$35</definedName>
    <definedName name="_xlnm.Print_Area" localSheetId="10">'GCCV 3W Public'!$A$1:$G$35</definedName>
    <definedName name="_xlnm.Print_Area" localSheetId="9">'GCCV_Private'!$A$1:$G$36</definedName>
    <definedName name="_xlnm.Print_Area" localSheetId="8">'GCCV_Public'!$A$1:$G$36</definedName>
    <definedName name="_xlnm.Print_Area" localSheetId="18">'Misc  Class D'!$A$1:$G$36</definedName>
    <definedName name="_xlnm.Print_Area" localSheetId="13">'PCCV 3W up to 6 P'!$A$1:$G$37</definedName>
    <definedName name="_xlnm.Print_Area" localSheetId="16">'PCCV Maxi &amp; Bus'!$A$1:$G$34</definedName>
    <definedName name="_xlnm.Print_Area" localSheetId="5">'Pvt.Car'!$A$1:$H$37</definedName>
  </definedNames>
  <calcPr fullCalcOnLoad="1"/>
</workbook>
</file>

<file path=xl/comments15.xml><?xml version="1.0" encoding="utf-8"?>
<comments xmlns="http://schemas.openxmlformats.org/spreadsheetml/2006/main">
  <authors>
    <author/>
  </authors>
  <commentList>
    <comment ref="F17" authorId="0">
      <text>
        <r>
          <rPr>
            <b/>
            <sz val="8"/>
            <color indexed="8"/>
            <rFont val="Times New Roman"/>
            <family val="1"/>
          </rPr>
          <t xml:space="preserve">Seating Capacity
</t>
        </r>
      </text>
    </comment>
    <comment ref="F20" authorId="0">
      <text>
        <r>
          <rPr>
            <b/>
            <sz val="8"/>
            <color indexed="8"/>
            <rFont val="Times New Roman"/>
            <family val="1"/>
          </rPr>
          <t xml:space="preserve">No of Drivers/Employees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F14" authorId="0">
      <text>
        <r>
          <rPr>
            <b/>
            <sz val="8"/>
            <color indexed="8"/>
            <rFont val="Times New Roman"/>
            <family val="1"/>
          </rPr>
          <t xml:space="preserve">Yes/No option in OD side.
</t>
        </r>
      </text>
    </comment>
    <comment ref="F18" authorId="0">
      <text>
        <r>
          <rPr>
            <b/>
            <sz val="8"/>
            <color indexed="8"/>
            <rFont val="Times New Roman"/>
            <family val="1"/>
          </rPr>
          <t xml:space="preserve">No of Pax to be covered
</t>
        </r>
      </text>
    </comment>
    <comment ref="G18" authorId="0">
      <text>
        <r>
          <rPr>
            <b/>
            <sz val="8"/>
            <color indexed="8"/>
            <rFont val="Times New Roman"/>
            <family val="1"/>
          </rPr>
          <t xml:space="preserve">PA limit per Person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G18" authorId="0">
      <text>
        <r>
          <rPr>
            <b/>
            <sz val="8"/>
            <color indexed="8"/>
            <rFont val="Times New Roman"/>
            <family val="1"/>
          </rPr>
          <t xml:space="preserve">No Of Seats
</t>
        </r>
      </text>
    </comment>
    <comment ref="G20" authorId="0">
      <text>
        <r>
          <rPr>
            <b/>
            <sz val="8"/>
            <color indexed="8"/>
            <rFont val="Times New Roman"/>
            <family val="1"/>
          </rPr>
          <t xml:space="preserve">No of Drivers/Employees
</t>
        </r>
      </text>
    </comment>
    <comment ref="H20" authorId="0">
      <text>
        <r>
          <rPr>
            <b/>
            <sz val="8"/>
            <color indexed="8"/>
            <rFont val="Times New Roman"/>
            <family val="1"/>
          </rPr>
          <t xml:space="preserve">Limit Per Person
</t>
        </r>
      </text>
    </comment>
  </commentList>
</comments>
</file>

<file path=xl/sharedStrings.xml><?xml version="1.0" encoding="utf-8"?>
<sst xmlns="http://schemas.openxmlformats.org/spreadsheetml/2006/main" count="1094" uniqueCount="238">
  <si>
    <t>THE ORIENTAL INSURANCE COMPANY LIMITED</t>
  </si>
  <si>
    <t>How to use this Motor Premium calculator?</t>
  </si>
  <si>
    <t>1. HYPER LINK</t>
  </si>
  <si>
    <t xml:space="preserve">CLICK &amp; GO TO  WORK SHEET. </t>
  </si>
  <si>
    <t>2. Vehicle Details</t>
  </si>
  <si>
    <t>Enter IDV,Elec.Acc., CNG Kit Value,Zone,CC &amp; Year of Mfg.</t>
  </si>
  <si>
    <t>3. Premium Calculation</t>
  </si>
  <si>
    <t>Select Yes or No, NCB %, Discount %, No of Persons etc.</t>
  </si>
  <si>
    <t>NCB RECOVERY</t>
  </si>
  <si>
    <t xml:space="preserve">2 WHEELER </t>
  </si>
  <si>
    <t>PRIVATE CAR</t>
  </si>
  <si>
    <t>GCCV PUBLIC CARRIER</t>
  </si>
  <si>
    <t>GCCV PRIVATE CARRIER</t>
  </si>
  <si>
    <t>GCCV 3W PUBLIC CARRIER</t>
  </si>
  <si>
    <t>GCCV 3W PRIVATE CARRIER</t>
  </si>
  <si>
    <t>PCCV 3W UP TO 6 PASSENGER</t>
  </si>
  <si>
    <t>PCCV  4 W UP TO 6 PASSENGER</t>
  </si>
  <si>
    <t>PCCV  3 W 7 TO 18  PASSENGER</t>
  </si>
  <si>
    <t>PCCV MAXI AND LUXARY BUS</t>
  </si>
  <si>
    <t>MISC CLASS - D VEHICLES</t>
  </si>
  <si>
    <t>CLICK &amp; start URL related Oriental Insurance</t>
  </si>
  <si>
    <t>http://www.orientalinsurance.org.in</t>
  </si>
  <si>
    <t>http://10.0.0.50:7778/forms/frmservlet?config=inlias_nontxn</t>
  </si>
  <si>
    <t>http://www.irdaonline.org/Index.htm</t>
  </si>
  <si>
    <t xml:space="preserve">      E-mail -  jm.patel@orientalinsurance.co.in</t>
  </si>
  <si>
    <t>THE ORIENTAL INSURANCE COMPANY LTD</t>
  </si>
  <si>
    <t>REGIONAL OFFICE : VADODARA</t>
  </si>
  <si>
    <t>BACK</t>
  </si>
  <si>
    <t>NCB RECOVERY AT THE TIME OF TRANSFER OF OWNERSHIP</t>
  </si>
  <si>
    <t>Policy End Date</t>
  </si>
  <si>
    <t>Policy Transfer Date</t>
  </si>
  <si>
    <t>Number of Days</t>
  </si>
  <si>
    <t>NCB Recovery</t>
  </si>
  <si>
    <t>Transfer Fees</t>
  </si>
  <si>
    <t>Duplicate Certificate</t>
  </si>
  <si>
    <t>No</t>
  </si>
  <si>
    <t>TOTAL</t>
  </si>
  <si>
    <t>Total Premium</t>
  </si>
  <si>
    <r>
      <t xml:space="preserve">Note: Enter </t>
    </r>
    <r>
      <rPr>
        <i/>
        <sz val="12"/>
        <color indexed="10"/>
        <rFont val="Arial"/>
        <family val="2"/>
      </rPr>
      <t xml:space="preserve">NCB Amount </t>
    </r>
    <r>
      <rPr>
        <i/>
        <sz val="12"/>
        <rFont val="Arial"/>
        <family val="2"/>
      </rPr>
      <t>&amp;</t>
    </r>
    <r>
      <rPr>
        <i/>
        <sz val="12"/>
        <color indexed="10"/>
        <rFont val="Arial"/>
        <family val="2"/>
      </rPr>
      <t xml:space="preserve"> Policy Expiry Date</t>
    </r>
    <r>
      <rPr>
        <i/>
        <sz val="12"/>
        <rFont val="Arial"/>
        <family val="2"/>
      </rPr>
      <t>.NCB Recovery &amp; Transfer Fees with Service Tax calculate automaticaly.</t>
    </r>
  </si>
  <si>
    <t>Calculation of Basic OD</t>
  </si>
  <si>
    <t>Zone</t>
  </si>
  <si>
    <t>CC</t>
  </si>
  <si>
    <t>Age</t>
  </si>
  <si>
    <t>Col Offset</t>
  </si>
  <si>
    <t>Basic OD</t>
  </si>
  <si>
    <t>Calculation Of Basic TP</t>
  </si>
  <si>
    <t>Basic TP</t>
  </si>
  <si>
    <t>Motor Cycle</t>
  </si>
  <si>
    <t>Basic</t>
  </si>
  <si>
    <t>OD</t>
  </si>
  <si>
    <t>A</t>
  </si>
  <si>
    <t>B</t>
  </si>
  <si>
    <t>TP</t>
  </si>
  <si>
    <t>Addons</t>
  </si>
  <si>
    <t>%</t>
  </si>
  <si>
    <t>Amt</t>
  </si>
  <si>
    <t>Electronic</t>
  </si>
  <si>
    <t>CNG</t>
  </si>
  <si>
    <t>Trailer</t>
  </si>
  <si>
    <t>voluntary excess</t>
  </si>
  <si>
    <t>Geao Area</t>
  </si>
  <si>
    <t>Embassy</t>
  </si>
  <si>
    <t>AAI</t>
  </si>
  <si>
    <t>PA OD</t>
  </si>
  <si>
    <t>LL Driver</t>
  </si>
  <si>
    <t>LL Emp</t>
  </si>
  <si>
    <t>Less</t>
  </si>
  <si>
    <t>Anti Theft</t>
  </si>
  <si>
    <t>TPPD</t>
  </si>
  <si>
    <t>Handicap</t>
  </si>
  <si>
    <t>Own Use</t>
  </si>
  <si>
    <t>Vol Ded</t>
  </si>
  <si>
    <t>Max</t>
  </si>
  <si>
    <t>NCB</t>
  </si>
  <si>
    <t>DISC</t>
  </si>
  <si>
    <t>BACK TO HYPERLINK</t>
  </si>
  <si>
    <t>VEHICLE'S BASIC DETAILS</t>
  </si>
  <si>
    <t>Insured Declared Value</t>
  </si>
  <si>
    <t>Electrical Accessories value</t>
  </si>
  <si>
    <t>CNG IDV</t>
  </si>
  <si>
    <t>Year of Manufacture</t>
  </si>
  <si>
    <t>Cost of Accessories</t>
  </si>
  <si>
    <t>PREMIUM CALCULATION</t>
  </si>
  <si>
    <t>OWN DAMAGE</t>
  </si>
  <si>
    <t>THIRD PARTY/LIABILITY</t>
  </si>
  <si>
    <t>Basic ( MOT-CVR-001 )</t>
  </si>
  <si>
    <t>Basic TP  ( MOT-CVR-007 )</t>
  </si>
  <si>
    <t>Electrical Accessories</t>
  </si>
  <si>
    <t>Yes</t>
  </si>
  <si>
    <t>CNG KIT (MOT-CVR-003)</t>
  </si>
  <si>
    <t>CNG Kit ( MOT-CVR-008 )</t>
  </si>
  <si>
    <t>C</t>
  </si>
  <si>
    <t>Basic OD1</t>
  </si>
  <si>
    <t>Basic TP1</t>
  </si>
  <si>
    <t>Nil Depreciation</t>
  </si>
  <si>
    <t>Return to Invoice(MOT-CVR-070)</t>
  </si>
  <si>
    <t>Geographical Area</t>
  </si>
  <si>
    <t>Rallies (No of days)</t>
  </si>
  <si>
    <t>Rallies</t>
  </si>
  <si>
    <t>Fiber Glass Tank OD - GR43</t>
  </si>
  <si>
    <t>Anti Theft Device</t>
  </si>
  <si>
    <t>Basic OD2</t>
  </si>
  <si>
    <t>Basic TP2</t>
  </si>
  <si>
    <t>Third Party Property Damage</t>
  </si>
  <si>
    <t>Voluntary Excess</t>
  </si>
  <si>
    <t>Basic OD3</t>
  </si>
  <si>
    <t>Basic TP3</t>
  </si>
  <si>
    <t>NCB ( MOT-DIS-310 )</t>
  </si>
  <si>
    <t>OD Discount (MOT-DIS-IMT)</t>
  </si>
  <si>
    <t>Total OD Premium</t>
  </si>
  <si>
    <t>Total TP Premium</t>
  </si>
  <si>
    <t>Own Damage</t>
  </si>
  <si>
    <t xml:space="preserve">Act Only </t>
  </si>
  <si>
    <t>Total ( OD+TP)</t>
  </si>
  <si>
    <t>Total Payable</t>
  </si>
  <si>
    <t xml:space="preserve">Nil Depreciation Loading </t>
  </si>
  <si>
    <t xml:space="preserve">New &amp; Up To 6 months         </t>
  </si>
  <si>
    <t xml:space="preserve">6 Months   To 2 years               </t>
  </si>
  <si>
    <t xml:space="preserve">2 Years   to 5 years               </t>
  </si>
  <si>
    <t>Year</t>
  </si>
  <si>
    <t>BACK TO          HYPER LINK</t>
  </si>
  <si>
    <t>Cubic Capacity</t>
  </si>
  <si>
    <r>
      <t>Basic Own Damage</t>
    </r>
    <r>
      <rPr>
        <sz val="10"/>
        <rFont val="Arial"/>
        <family val="2"/>
      </rPr>
      <t>(MOT-CVR-001)</t>
    </r>
  </si>
  <si>
    <t>CNG Kit ( MOT-CVR-003 )</t>
  </si>
  <si>
    <t>CNG Kit( MOT-CVR-008)</t>
  </si>
  <si>
    <t>PA to Owner Driver</t>
  </si>
  <si>
    <t>LL Driver/Employee</t>
  </si>
  <si>
    <t>Nil Depreciation (MOT-CVR-150)</t>
  </si>
  <si>
    <t>PA to Passenger</t>
  </si>
  <si>
    <t>Fibre Glass Tank</t>
  </si>
  <si>
    <t>Driving Tuitions</t>
  </si>
  <si>
    <t>Basic OD 2</t>
  </si>
  <si>
    <t>Handicapt Vehicle</t>
  </si>
  <si>
    <t>Own Premises</t>
  </si>
  <si>
    <t>Insured's Declared Value</t>
  </si>
  <si>
    <t>Gross Vehicle Weight (Kgs.)</t>
  </si>
  <si>
    <t>.</t>
  </si>
  <si>
    <t>CNG Kit Value</t>
  </si>
  <si>
    <t>Premium Calculation</t>
  </si>
  <si>
    <t>Basic Own Damage</t>
  </si>
  <si>
    <t>Elec Accessories</t>
  </si>
  <si>
    <t>GVW Loading</t>
  </si>
  <si>
    <t>CNG Kit</t>
  </si>
  <si>
    <t>Basic TP 1</t>
  </si>
  <si>
    <t>IMT 23</t>
  </si>
  <si>
    <t>No of Driver/ employees</t>
  </si>
  <si>
    <t>Add On Cover ( Nil Depriciation)</t>
  </si>
  <si>
    <t>LL NFPP</t>
  </si>
  <si>
    <t>No of employees/Others</t>
  </si>
  <si>
    <t>Basic TP 2</t>
  </si>
  <si>
    <t>Discounts</t>
  </si>
  <si>
    <t>Basic OD 3</t>
  </si>
  <si>
    <t>TOTAL PREMIUM</t>
  </si>
  <si>
    <t>NOTE:- IMT 23 (MOT-LOD-007) IS COMPULSARY WITH NIL DEPRECIATION (MOT-CVR-150)</t>
  </si>
  <si>
    <t>No of Driver/employees</t>
  </si>
  <si>
    <t>No of  employees</t>
  </si>
  <si>
    <t>Embassy Loading</t>
  </si>
  <si>
    <t>Passenger</t>
  </si>
  <si>
    <t xml:space="preserve">Passenger </t>
  </si>
  <si>
    <t>No of Driver employees</t>
  </si>
  <si>
    <t>PA  to Owner Driver</t>
  </si>
  <si>
    <t>Back to Hyperlink</t>
  </si>
  <si>
    <t>Type of vehicle</t>
  </si>
  <si>
    <t>Others</t>
  </si>
  <si>
    <t>Overturning</t>
  </si>
  <si>
    <t>PA Owner/Driver</t>
  </si>
  <si>
    <t>Hire/Reward</t>
  </si>
  <si>
    <t>LL to Coolies</t>
  </si>
  <si>
    <t>Pass. Carrying</t>
  </si>
  <si>
    <t>Pvt Car</t>
  </si>
  <si>
    <t>Public Carrier</t>
  </si>
  <si>
    <t>Public</t>
  </si>
  <si>
    <t>IDV</t>
  </si>
  <si>
    <t>Zone C</t>
  </si>
  <si>
    <t>Zone B</t>
  </si>
  <si>
    <t>Zone A</t>
  </si>
  <si>
    <t>GVW</t>
  </si>
  <si>
    <t>Premium</t>
  </si>
  <si>
    <t>Zone Offset</t>
  </si>
  <si>
    <t>OD Rate</t>
  </si>
  <si>
    <t>Private Carrier</t>
  </si>
  <si>
    <t>Private</t>
  </si>
  <si>
    <t>Miscellanous Vehicles</t>
  </si>
  <si>
    <t>Misc</t>
  </si>
  <si>
    <t>Type</t>
  </si>
  <si>
    <t>Tractors under 6 HP</t>
  </si>
  <si>
    <t>Trailers Attached</t>
  </si>
  <si>
    <t>Passenger Carrying</t>
  </si>
  <si>
    <t>Passenger Carrying  6 TO 18</t>
  </si>
  <si>
    <r>
      <t>Return to Invoice</t>
    </r>
    <r>
      <rPr>
        <sz val="8"/>
        <rFont val="Arial"/>
        <family val="2"/>
      </rPr>
      <t>(MOT-CVR-070</t>
    </r>
    <r>
      <rPr>
        <sz val="11"/>
        <rFont val="Arial"/>
        <family val="2"/>
      </rPr>
      <t>)</t>
    </r>
  </si>
  <si>
    <r>
      <t>Own Premises</t>
    </r>
    <r>
      <rPr>
        <sz val="9"/>
        <rFont val="Arial"/>
        <family val="2"/>
      </rPr>
      <t xml:space="preserve"> OD-GR35-IMT13</t>
    </r>
  </si>
  <si>
    <r>
      <t>PA Pellion Rider</t>
    </r>
    <r>
      <rPr>
        <sz val="9"/>
        <rFont val="Arial"/>
        <family val="2"/>
      </rPr>
      <t>(MOT-CVR-018)</t>
    </r>
  </si>
  <si>
    <t xml:space="preserve">BACK  </t>
  </si>
  <si>
    <t>Passenger Carrying MAXI &amp; BUS</t>
  </si>
  <si>
    <t>REGIONAL OFFCE VADODARA                 DIVISIONAL OFFICE  NADIAD</t>
  </si>
  <si>
    <t>https://mail.orientalinsurance.co.in/owa</t>
  </si>
  <si>
    <t>http://10.244.0.120:8011/psp/HRSPROD</t>
  </si>
  <si>
    <t>Motor Add On Cover Discount</t>
  </si>
  <si>
    <t>Motor Add On Cover Discount not Exceeding Motor OD Discount</t>
  </si>
  <si>
    <t>NCB Amount</t>
  </si>
  <si>
    <t>Motor Add On Cover            Discount not Exceeding              Motor OD Discount</t>
  </si>
  <si>
    <t>Motor Add On Cover                  Discount not Exceeding            Motor OD Discount</t>
  </si>
  <si>
    <t>Motor Add On Cover                  Discount not Exceeding                  Motor OD Discount</t>
  </si>
  <si>
    <t xml:space="preserve">  http://10.244.0.50:7778/forms/frmservlet?Config=inliaslive </t>
  </si>
  <si>
    <t xml:space="preserve"> http://10.244.0.50:7778/forms/frmservlet?Config=win7_inlias</t>
  </si>
  <si>
    <r>
      <t>Change Service Tax (</t>
    </r>
    <r>
      <rPr>
        <i/>
        <sz val="14"/>
        <color indexed="10"/>
        <rFont val="Times New Roman"/>
        <family val="1"/>
      </rPr>
      <t>Yellow Mark</t>
    </r>
    <r>
      <rPr>
        <i/>
        <sz val="14"/>
        <color indexed="12"/>
        <rFont val="Times New Roman"/>
        <family val="1"/>
      </rPr>
      <t>)as per revised Service Tax</t>
    </r>
  </si>
  <si>
    <t>http://10.0.0.50:7778/forms/frmservlet?config=win7_inlias_nontxn</t>
  </si>
  <si>
    <t>CGST &amp; SGST</t>
  </si>
  <si>
    <t>CGST  9.00% &amp; SGST 9.00%</t>
  </si>
  <si>
    <t>ADD: CGST &amp; SGST</t>
  </si>
  <si>
    <t>CGST  9.00%       SGST  9.00%</t>
  </si>
  <si>
    <t>J M Patel Business Center, Mahemdabad (Gujarat)  Mobile No: 09426585252</t>
  </si>
  <si>
    <t xml:space="preserve"> Business Center, Mahemdabad  Dist : Kheda  ( Gujarat ) </t>
  </si>
  <si>
    <t xml:space="preserve">           J M Patel   Mobile No :  09426585252          </t>
  </si>
  <si>
    <t>PETROL/CNG</t>
  </si>
  <si>
    <t>DIESEL</t>
  </si>
  <si>
    <t>Engine Protect Cover Diesel</t>
  </si>
  <si>
    <t>Select Fuel for Engine Protect</t>
  </si>
  <si>
    <t>Engine Protect Cover Petrol</t>
  </si>
  <si>
    <t xml:space="preserve">    3 WHEELER  PRIVATE GOODS CARRYING</t>
  </si>
  <si>
    <t>3 WEELERS GOODS CARRYING PUBLIC</t>
  </si>
  <si>
    <t>PCCV Three wheelers UP TO 6 PASSENGER (Auto Rickshaw)  ( w.e.f 01/04/2018)</t>
  </si>
  <si>
    <t>Private Car ( w.e.f 01/04/2018)</t>
  </si>
  <si>
    <t>Two Wheeler Premium ( w.e.f   01/04/2018)</t>
  </si>
  <si>
    <t>Goods Carrying Vehicles Public Carrier ( w.e.f 01/04/2018)</t>
  </si>
  <si>
    <t>Goods Carrying Vehicles (Private Carrier)  ( w.e.f 01/04/2018)</t>
  </si>
  <si>
    <t>Goods Carrying Vehicles  Three wheelers  (Public Carrier)  ( w.e.f 01/04/2018)</t>
  </si>
  <si>
    <t>Goods Carrying Vehicles  Three wheelers  (Private Carrier)  ( w.e.f 01/04/2018)</t>
  </si>
  <si>
    <t>PCCV 4 Wheeler up to Six Passenger ( w.e.f 01/04/2018)</t>
  </si>
  <si>
    <t>PCCV Three wheelers  Seating Capacity  7 TO 17 (Auto Rickshaw)  ( w.e.f 01/04/2018)</t>
  </si>
  <si>
    <r>
      <t xml:space="preserve">PCCV OTHER THEN THREE WHEELER  MAXI &amp; BUS </t>
    </r>
    <r>
      <rPr>
        <b/>
        <i/>
        <sz val="12"/>
        <color indexed="10"/>
        <rFont val="Arial"/>
        <family val="2"/>
      </rPr>
      <t>( w.e.f 01/04/2018)</t>
    </r>
  </si>
  <si>
    <t>Miscellaneous Vehicles(Class D)  ( w.e.f 01/04/2018)</t>
  </si>
  <si>
    <t>PETROL</t>
  </si>
  <si>
    <t>Proposer's Name</t>
  </si>
  <si>
    <t>Address</t>
  </si>
  <si>
    <t>Name of Proposer</t>
  </si>
  <si>
    <r>
      <t xml:space="preserve">PA to Owner Driver </t>
    </r>
    <r>
      <rPr>
        <sz val="8"/>
        <rFont val="Arial"/>
        <family val="2"/>
      </rPr>
      <t>( RS.1500000/-</t>
    </r>
    <r>
      <rPr>
        <sz val="11"/>
        <rFont val="Arial"/>
        <family val="2"/>
      </rPr>
      <t>)</t>
    </r>
  </si>
  <si>
    <t>Revised As on 01/04/2018  ( Rev PA Owner Driver 24/09/2018 )</t>
  </si>
</sst>
</file>

<file path=xl/styles.xml><?xml version="1.0" encoding="utf-8"?>
<styleSheet xmlns="http://schemas.openxmlformats.org/spreadsheetml/2006/main">
  <numFmts count="34">
    <numFmt numFmtId="5" formatCode="&quot;Rs.&quot;#,##0_);\(&quot;Rs.&quot;#,##0\)"/>
    <numFmt numFmtId="6" formatCode="&quot;Rs.&quot;#,##0_);[Red]\(&quot;Rs.&quot;#,##0\)"/>
    <numFmt numFmtId="7" formatCode="&quot;Rs.&quot;#,##0.00_);\(&quot;Rs.&quot;#,##0.00\)"/>
    <numFmt numFmtId="8" formatCode="&quot;Rs.&quot;#,##0.00_);[Red]\(&quot;Rs.&quot;#,##0.00\)"/>
    <numFmt numFmtId="42" formatCode="_(&quot;Rs.&quot;* #,##0_);_(&quot;Rs.&quot;* \(#,##0\);_(&quot;Rs.&quot;* &quot;-&quot;_);_(@_)"/>
    <numFmt numFmtId="41" formatCode="_(* #,##0_);_(* \(#,##0\);_(* &quot;-&quot;_);_(@_)"/>
    <numFmt numFmtId="44" formatCode="_(&quot;Rs.&quot;* #,##0.00_);_(&quot;Rs.&quot;* \(#,##0.00\);_(&quot;Rs.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₹&quot;\ #,##0;&quot;₹&quot;\ \-#,##0"/>
    <numFmt numFmtId="171" formatCode="&quot;₹&quot;\ #,##0;[Red]&quot;₹&quot;\ \-#,##0"/>
    <numFmt numFmtId="172" formatCode="&quot;₹&quot;\ #,##0.00;&quot;₹&quot;\ \-#,##0.00"/>
    <numFmt numFmtId="173" formatCode="&quot;₹&quot;\ #,##0.00;[Red]&quot;₹&quot;\ \-#,##0.00"/>
    <numFmt numFmtId="174" formatCode="_ &quot;₹&quot;\ * #,##0_ ;_ &quot;₹&quot;\ * \-#,##0_ ;_ &quot;₹&quot;\ * &quot;-&quot;_ ;_ @_ "/>
    <numFmt numFmtId="175" formatCode="_ * #,##0_ ;_ * \-#,##0_ ;_ * &quot;-&quot;_ ;_ @_ "/>
    <numFmt numFmtId="176" formatCode="_ &quot;₹&quot;\ * #,##0.00_ ;_ &quot;₹&quot;\ * \-#,##0.00_ ;_ &quot;₹&quot;\ * &quot;-&quot;??_ ;_ @_ "/>
    <numFmt numFmtId="177" formatCode="_ * #,##0.00_ ;_ * \-#,##0.00_ ;_ * &quot;-&quot;??_ ;_ @_ "/>
    <numFmt numFmtId="178" formatCode="_(* #,##0.00_);_(* \(#,##0.00\);_(* \-??_);_(@_)"/>
    <numFmt numFmtId="179" formatCode="_(* #,##0.000_);_(* \(#,##0.000\);_(* \-??_);_(@_)"/>
    <numFmt numFmtId="180" formatCode="_(&quot;Rs.&quot;* #,##0_);_(&quot;Rs.&quot;* \(#,##0\);_(&quot;Rs.&quot;* \-_);_(@_)"/>
    <numFmt numFmtId="181" formatCode="_(* #,##0_);_(* \(#,##0\);_(* \-??_);_(@_)"/>
    <numFmt numFmtId="182" formatCode="_(&quot;Rs.&quot;* #,##0.00_);_(&quot;Rs.&quot;* \(#,##0.00\);_(&quot;Rs.&quot;* \-_);_(@_)"/>
    <numFmt numFmtId="183" formatCode="mm/yyyy"/>
    <numFmt numFmtId="184" formatCode="yyyy"/>
    <numFmt numFmtId="185" formatCode="0.000%"/>
    <numFmt numFmtId="186" formatCode="[$-4009]dd\ mmmm\ yyyy"/>
    <numFmt numFmtId="187" formatCode="[$-14009]dd/mm/yyyy;@"/>
    <numFmt numFmtId="188" formatCode="_(* #,##0.0_);_(* \(#,##0.0\);_(* \-??_);_(@_)"/>
    <numFmt numFmtId="189" formatCode="0.000"/>
  </numFmts>
  <fonts count="117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62"/>
      <name val="Times New Roman"/>
      <family val="1"/>
    </font>
    <font>
      <sz val="12"/>
      <color indexed="60"/>
      <name val="Times New Roman"/>
      <family val="1"/>
    </font>
    <font>
      <i/>
      <sz val="14"/>
      <name val="Times New Roman"/>
      <family val="1"/>
    </font>
    <font>
      <sz val="12"/>
      <color indexed="18"/>
      <name val="Times New Roman"/>
      <family val="1"/>
    </font>
    <font>
      <b/>
      <sz val="12"/>
      <color indexed="12"/>
      <name val="Times New Roman"/>
      <family val="1"/>
    </font>
    <font>
      <u val="single"/>
      <sz val="10"/>
      <color indexed="12"/>
      <name val="Arial"/>
      <family val="2"/>
    </font>
    <font>
      <b/>
      <i/>
      <sz val="14"/>
      <color indexed="12"/>
      <name val="Times New Roman"/>
      <family val="1"/>
    </font>
    <font>
      <sz val="14"/>
      <name val="Times New Roman"/>
      <family val="1"/>
    </font>
    <font>
      <i/>
      <sz val="14"/>
      <color indexed="12"/>
      <name val="Times New Roman"/>
      <family val="1"/>
    </font>
    <font>
      <i/>
      <sz val="14"/>
      <color indexed="10"/>
      <name val="Times New Roman"/>
      <family val="1"/>
    </font>
    <font>
      <sz val="14"/>
      <name val="Arial"/>
      <family val="2"/>
    </font>
    <font>
      <sz val="14"/>
      <color indexed="18"/>
      <name val="Arial"/>
      <family val="2"/>
    </font>
    <font>
      <sz val="12"/>
      <name val="Arial"/>
      <family val="2"/>
    </font>
    <font>
      <sz val="12"/>
      <color indexed="30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sz val="10"/>
      <name val="Courier New"/>
      <family val="3"/>
    </font>
    <font>
      <b/>
      <sz val="10"/>
      <color indexed="18"/>
      <name val="Courier New"/>
      <family val="3"/>
    </font>
    <font>
      <sz val="10"/>
      <name val="Courier New CE"/>
      <family val="3"/>
    </font>
    <font>
      <sz val="11"/>
      <name val="Arial"/>
      <family val="2"/>
    </font>
    <font>
      <b/>
      <sz val="12"/>
      <color indexed="30"/>
      <name val="Arial"/>
      <family val="2"/>
    </font>
    <font>
      <b/>
      <i/>
      <sz val="12"/>
      <name val="Arial"/>
      <family val="2"/>
    </font>
    <font>
      <u val="single"/>
      <sz val="11"/>
      <color indexed="56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8"/>
      <color indexed="8"/>
      <name val="Times New Roman"/>
      <family val="1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color indexed="30"/>
      <name val="Arial"/>
      <family val="2"/>
    </font>
    <font>
      <b/>
      <u val="single"/>
      <sz val="11"/>
      <color indexed="12"/>
      <name val="Arial"/>
      <family val="2"/>
    </font>
    <font>
      <sz val="11"/>
      <color indexed="56"/>
      <name val="Arial"/>
      <family val="2"/>
    </font>
    <font>
      <u val="single"/>
      <sz val="11"/>
      <color indexed="12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u val="single"/>
      <sz val="10"/>
      <color indexed="56"/>
      <name val="Arial"/>
      <family val="2"/>
    </font>
    <font>
      <b/>
      <u val="single"/>
      <sz val="11"/>
      <color indexed="56"/>
      <name val="Arial"/>
      <family val="2"/>
    </font>
    <font>
      <b/>
      <sz val="10"/>
      <color indexed="56"/>
      <name val="Arial"/>
      <family val="2"/>
    </font>
    <font>
      <b/>
      <sz val="9"/>
      <color indexed="56"/>
      <name val="Arial"/>
      <family val="2"/>
    </font>
    <font>
      <u val="single"/>
      <sz val="10"/>
      <color indexed="56"/>
      <name val="Arial"/>
      <family val="2"/>
    </font>
    <font>
      <b/>
      <u val="single"/>
      <sz val="12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8"/>
      <name val="Arial"/>
      <family val="2"/>
    </font>
    <font>
      <b/>
      <sz val="14"/>
      <color indexed="30"/>
      <name val="Arial"/>
      <family val="2"/>
    </font>
    <font>
      <sz val="10"/>
      <color indexed="12"/>
      <name val="Times New Roman"/>
      <family val="1"/>
    </font>
    <font>
      <b/>
      <i/>
      <sz val="12"/>
      <color indexed="10"/>
      <name val="Arial"/>
      <family val="2"/>
    </font>
    <font>
      <sz val="12"/>
      <color indexed="12"/>
      <name val="Times New Roman"/>
      <family val="1"/>
    </font>
    <font>
      <sz val="14"/>
      <color indexed="12"/>
      <name val="Times New Roman"/>
      <family val="1"/>
    </font>
    <font>
      <sz val="14"/>
      <color indexed="30"/>
      <name val="Times New Roman"/>
      <family val="1"/>
    </font>
    <font>
      <b/>
      <sz val="12"/>
      <color indexed="10"/>
      <name val="Arial"/>
      <family val="2"/>
    </font>
    <font>
      <b/>
      <i/>
      <sz val="12"/>
      <color indexed="56"/>
      <name val="Arial"/>
      <family val="2"/>
    </font>
    <font>
      <sz val="12"/>
      <name val="Courier New"/>
      <family val="3"/>
    </font>
    <font>
      <b/>
      <sz val="12"/>
      <color indexed="18"/>
      <name val="Courier New"/>
      <family val="3"/>
    </font>
    <font>
      <sz val="11"/>
      <name val="Courier New CE"/>
      <family val="3"/>
    </font>
    <font>
      <sz val="11"/>
      <color indexed="56"/>
      <name val="Courier New CE"/>
      <family val="3"/>
    </font>
    <font>
      <b/>
      <sz val="10"/>
      <color indexed="8"/>
      <name val="Courier New CE"/>
      <family val="0"/>
    </font>
    <font>
      <b/>
      <sz val="11"/>
      <name val="Courier New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Arial"/>
      <family val="2"/>
    </font>
    <font>
      <i/>
      <sz val="14"/>
      <color indexed="53"/>
      <name val="Arial"/>
      <family val="2"/>
    </font>
    <font>
      <b/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2060"/>
      <name val="Arial"/>
      <family val="2"/>
    </font>
    <font>
      <sz val="10"/>
      <color rgb="FFFF0000"/>
      <name val="Arial"/>
      <family val="2"/>
    </font>
    <font>
      <b/>
      <sz val="12"/>
      <color theme="5" tint="-0.24997000396251678"/>
      <name val="Arial"/>
      <family val="2"/>
    </font>
    <font>
      <i/>
      <sz val="14"/>
      <color theme="9"/>
      <name val="Arial"/>
      <family val="2"/>
    </font>
    <font>
      <b/>
      <sz val="11"/>
      <color rgb="FFFF0000"/>
      <name val="Arial"/>
      <family val="2"/>
    </font>
    <font>
      <b/>
      <sz val="11"/>
      <color theme="1" tint="0.34999001026153564"/>
      <name val="Arial"/>
      <family val="2"/>
    </font>
    <font>
      <b/>
      <sz val="11"/>
      <color theme="9" tint="-0.4999699890613556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/>
      <right style="thin"/>
      <top style="thin"/>
      <bottom style="thin"/>
    </border>
    <border>
      <left style="thin">
        <color rgb="FFC00000"/>
      </left>
      <right>
        <color indexed="63"/>
      </right>
      <top style="thin">
        <color rgb="FFC00000"/>
      </top>
      <bottom style="thin">
        <color rgb="FFC00000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rgb="FFC00000"/>
      </top>
      <bottom style="thin">
        <color rgb="FFC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rgb="FFC00000"/>
      </left>
      <right style="thin">
        <color rgb="FFC00000"/>
      </right>
      <top style="thin">
        <color rgb="FFC00000"/>
      </top>
      <bottom>
        <color indexed="63"/>
      </bottom>
    </border>
    <border>
      <left style="thin">
        <color rgb="FFC00000"/>
      </left>
      <right style="thin">
        <color rgb="FFC00000"/>
      </right>
      <top>
        <color indexed="63"/>
      </top>
      <bottom>
        <color indexed="63"/>
      </bottom>
    </border>
    <border>
      <left style="thin">
        <color rgb="FFC00000"/>
      </left>
      <right style="thin">
        <color rgb="FFC00000"/>
      </right>
      <top>
        <color indexed="63"/>
      </top>
      <bottom style="thin">
        <color rgb="FFC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0" applyNumberFormat="0" applyBorder="0" applyAlignment="0" applyProtection="0"/>
    <xf numFmtId="0" fontId="93" fillId="27" borderId="1" applyNumberFormat="0" applyAlignment="0" applyProtection="0"/>
    <xf numFmtId="0" fontId="94" fillId="28" borderId="2" applyNumberFormat="0" applyAlignment="0" applyProtection="0"/>
    <xf numFmtId="178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29" borderId="0" applyNumberFormat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1" fillId="30" borderId="1" applyNumberFormat="0" applyAlignment="0" applyProtection="0"/>
    <xf numFmtId="0" fontId="102" fillId="0" borderId="6" applyNumberFormat="0" applyFill="0" applyAlignment="0" applyProtection="0"/>
    <xf numFmtId="0" fontId="10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04" fillId="27" borderId="8" applyNumberFormat="0" applyAlignment="0" applyProtection="0"/>
    <xf numFmtId="9" fontId="0" fillId="0" borderId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</cellStyleXfs>
  <cellXfs count="755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33" borderId="10" xfId="58" applyFont="1" applyFill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0" fontId="13" fillId="0" borderId="10" xfId="0" applyFont="1" applyBorder="1" applyAlignment="1" applyProtection="1">
      <alignment horizontal="center"/>
      <protection locked="0"/>
    </xf>
    <xf numFmtId="1" fontId="15" fillId="0" borderId="10" xfId="0" applyNumberFormat="1" applyFont="1" applyBorder="1" applyAlignment="1" applyProtection="1">
      <alignment horizontal="center"/>
      <protection locked="0"/>
    </xf>
    <xf numFmtId="10" fontId="13" fillId="0" borderId="10" xfId="0" applyNumberFormat="1" applyFont="1" applyBorder="1" applyAlignment="1">
      <alignment/>
    </xf>
    <xf numFmtId="1" fontId="13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1" fillId="33" borderId="10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179" fontId="21" fillId="33" borderId="10" xfId="42" applyNumberFormat="1" applyFont="1" applyFill="1" applyBorder="1" applyAlignment="1" applyProtection="1">
      <alignment/>
      <protection/>
    </xf>
    <xf numFmtId="179" fontId="21" fillId="33" borderId="11" xfId="42" applyNumberFormat="1" applyFont="1" applyFill="1" applyBorder="1" applyAlignment="1" applyProtection="1">
      <alignment/>
      <protection/>
    </xf>
    <xf numFmtId="9" fontId="21" fillId="33" borderId="10" xfId="0" applyNumberFormat="1" applyFont="1" applyFill="1" applyBorder="1" applyAlignment="1">
      <alignment/>
    </xf>
    <xf numFmtId="10" fontId="21" fillId="33" borderId="10" xfId="0" applyNumberFormat="1" applyFont="1" applyFill="1" applyBorder="1" applyAlignment="1">
      <alignment/>
    </xf>
    <xf numFmtId="0" fontId="30" fillId="33" borderId="12" xfId="0" applyFont="1" applyFill="1" applyBorder="1" applyAlignment="1">
      <alignment/>
    </xf>
    <xf numFmtId="0" fontId="30" fillId="33" borderId="13" xfId="0" applyFont="1" applyFill="1" applyBorder="1" applyAlignment="1">
      <alignment/>
    </xf>
    <xf numFmtId="0" fontId="30" fillId="33" borderId="14" xfId="0" applyFont="1" applyFill="1" applyBorder="1" applyAlignment="1">
      <alignment/>
    </xf>
    <xf numFmtId="0" fontId="30" fillId="33" borderId="15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178" fontId="0" fillId="33" borderId="14" xfId="42" applyFont="1" applyFill="1" applyBorder="1" applyAlignment="1" applyProtection="1">
      <alignment/>
      <protection/>
    </xf>
    <xf numFmtId="0" fontId="0" fillId="33" borderId="0" xfId="0" applyNumberFormat="1" applyFill="1" applyAlignment="1">
      <alignment/>
    </xf>
    <xf numFmtId="0" fontId="30" fillId="33" borderId="16" xfId="0" applyFont="1" applyFill="1" applyBorder="1" applyAlignment="1">
      <alignment/>
    </xf>
    <xf numFmtId="0" fontId="30" fillId="33" borderId="10" xfId="0" applyFont="1" applyFill="1" applyBorder="1" applyAlignment="1">
      <alignment/>
    </xf>
    <xf numFmtId="0" fontId="30" fillId="33" borderId="11" xfId="0" applyFont="1" applyFill="1" applyBorder="1" applyAlignment="1">
      <alignment/>
    </xf>
    <xf numFmtId="0" fontId="3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1" xfId="0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42" applyNumberFormat="1" applyFont="1" applyFill="1" applyBorder="1" applyAlignment="1" applyProtection="1">
      <alignment/>
      <protection/>
    </xf>
    <xf numFmtId="0" fontId="0" fillId="33" borderId="16" xfId="0" applyNumberFormat="1" applyFill="1" applyBorder="1" applyAlignment="1">
      <alignment/>
    </xf>
    <xf numFmtId="185" fontId="0" fillId="33" borderId="11" xfId="63" applyNumberFormat="1" applyFont="1" applyFill="1" applyBorder="1" applyAlignment="1" applyProtection="1">
      <alignment/>
      <protection/>
    </xf>
    <xf numFmtId="0" fontId="0" fillId="33" borderId="10" xfId="0" applyFill="1" applyBorder="1" applyAlignment="1">
      <alignment/>
    </xf>
    <xf numFmtId="178" fontId="0" fillId="33" borderId="11" xfId="42" applyFont="1" applyFill="1" applyBorder="1" applyAlignment="1" applyProtection="1">
      <alignment/>
      <protection/>
    </xf>
    <xf numFmtId="0" fontId="0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178" fontId="0" fillId="33" borderId="19" xfId="42" applyFont="1" applyFill="1" applyBorder="1" applyAlignment="1" applyProtection="1">
      <alignment/>
      <protection/>
    </xf>
    <xf numFmtId="0" fontId="49" fillId="33" borderId="0" xfId="0" applyFont="1" applyFill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85" fontId="0" fillId="33" borderId="18" xfId="0" applyNumberFormat="1" applyFill="1" applyBorder="1" applyAlignment="1">
      <alignment/>
    </xf>
    <xf numFmtId="0" fontId="0" fillId="33" borderId="17" xfId="42" applyNumberFormat="1" applyFont="1" applyFill="1" applyBorder="1" applyAlignment="1" applyProtection="1">
      <alignment/>
      <protection/>
    </xf>
    <xf numFmtId="181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/>
    </xf>
    <xf numFmtId="185" fontId="0" fillId="33" borderId="10" xfId="0" applyNumberFormat="1" applyFont="1" applyFill="1" applyBorder="1" applyAlignment="1">
      <alignment/>
    </xf>
    <xf numFmtId="185" fontId="0" fillId="33" borderId="11" xfId="0" applyNumberFormat="1" applyFont="1" applyFill="1" applyBorder="1" applyAlignment="1">
      <alignment/>
    </xf>
    <xf numFmtId="0" fontId="0" fillId="33" borderId="16" xfId="0" applyNumberFormat="1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185" fontId="5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85" fontId="51" fillId="33" borderId="10" xfId="0" applyNumberFormat="1" applyFont="1" applyFill="1" applyBorder="1" applyAlignment="1">
      <alignment horizontal="center" vertical="center" wrapText="1"/>
    </xf>
    <xf numFmtId="0" fontId="38" fillId="34" borderId="0" xfId="0" applyFont="1" applyFill="1" applyBorder="1" applyAlignment="1">
      <alignment horizontal="center"/>
    </xf>
    <xf numFmtId="0" fontId="36" fillId="34" borderId="0" xfId="0" applyFont="1" applyFill="1" applyAlignment="1">
      <alignment/>
    </xf>
    <xf numFmtId="0" fontId="36" fillId="34" borderId="0" xfId="0" applyFont="1" applyFill="1" applyAlignment="1">
      <alignment horizontal="center"/>
    </xf>
    <xf numFmtId="0" fontId="36" fillId="34" borderId="0" xfId="0" applyFont="1" applyFill="1" applyBorder="1" applyAlignment="1">
      <alignment/>
    </xf>
    <xf numFmtId="1" fontId="36" fillId="34" borderId="0" xfId="0" applyNumberFormat="1" applyFont="1" applyFill="1" applyBorder="1" applyAlignment="1">
      <alignment/>
    </xf>
    <xf numFmtId="0" fontId="36" fillId="34" borderId="0" xfId="0" applyFont="1" applyFill="1" applyBorder="1" applyAlignment="1">
      <alignment horizontal="center"/>
    </xf>
    <xf numFmtId="9" fontId="36" fillId="34" borderId="0" xfId="0" applyNumberFormat="1" applyFont="1" applyFill="1" applyAlignment="1">
      <alignment/>
    </xf>
    <xf numFmtId="0" fontId="38" fillId="34" borderId="0" xfId="0" applyFont="1" applyFill="1" applyBorder="1" applyAlignment="1">
      <alignment/>
    </xf>
    <xf numFmtId="0" fontId="38" fillId="34" borderId="0" xfId="0" applyFont="1" applyFill="1" applyAlignment="1">
      <alignment/>
    </xf>
    <xf numFmtId="0" fontId="38" fillId="34" borderId="0" xfId="0" applyFont="1" applyFill="1" applyAlignment="1">
      <alignment horizontal="center"/>
    </xf>
    <xf numFmtId="1" fontId="36" fillId="34" borderId="21" xfId="42" applyNumberFormat="1" applyFont="1" applyFill="1" applyBorder="1" applyAlignment="1" applyProtection="1">
      <alignment/>
      <protection hidden="1"/>
    </xf>
    <xf numFmtId="0" fontId="36" fillId="34" borderId="0" xfId="0" applyFont="1" applyFill="1" applyAlignment="1">
      <alignment vertical="center"/>
    </xf>
    <xf numFmtId="0" fontId="36" fillId="34" borderId="0" xfId="0" applyFont="1" applyFill="1" applyBorder="1" applyAlignment="1" applyProtection="1">
      <alignment/>
      <protection hidden="1"/>
    </xf>
    <xf numFmtId="9" fontId="36" fillId="34" borderId="0" xfId="0" applyNumberFormat="1" applyFont="1" applyFill="1" applyBorder="1" applyAlignment="1" applyProtection="1">
      <alignment/>
      <protection hidden="1"/>
    </xf>
    <xf numFmtId="180" fontId="36" fillId="34" borderId="0" xfId="42" applyNumberFormat="1" applyFont="1" applyFill="1" applyBorder="1" applyAlignment="1" applyProtection="1">
      <alignment horizontal="center"/>
      <protection hidden="1"/>
    </xf>
    <xf numFmtId="180" fontId="36" fillId="34" borderId="0" xfId="42" applyNumberFormat="1" applyFont="1" applyFill="1" applyBorder="1" applyAlignment="1" applyProtection="1">
      <alignment/>
      <protection hidden="1"/>
    </xf>
    <xf numFmtId="0" fontId="38" fillId="34" borderId="21" xfId="0" applyFont="1" applyFill="1" applyBorder="1" applyAlignment="1" applyProtection="1">
      <alignment horizontal="center"/>
      <protection hidden="1"/>
    </xf>
    <xf numFmtId="0" fontId="38" fillId="34" borderId="21" xfId="0" applyFont="1" applyFill="1" applyBorder="1" applyAlignment="1">
      <alignment horizontal="center" vertical="center"/>
    </xf>
    <xf numFmtId="0" fontId="36" fillId="34" borderId="0" xfId="0" applyFont="1" applyFill="1" applyAlignment="1">
      <alignment horizontal="center" vertical="center"/>
    </xf>
    <xf numFmtId="1" fontId="36" fillId="34" borderId="21" xfId="0" applyNumberFormat="1" applyFont="1" applyFill="1" applyBorder="1" applyAlignment="1" applyProtection="1">
      <alignment horizontal="right"/>
      <protection hidden="1"/>
    </xf>
    <xf numFmtId="1" fontId="38" fillId="34" borderId="21" xfId="42" applyNumberFormat="1" applyFont="1" applyFill="1" applyBorder="1" applyAlignment="1" applyProtection="1">
      <alignment/>
      <protection hidden="1"/>
    </xf>
    <xf numFmtId="0" fontId="38" fillId="34" borderId="0" xfId="0" applyFont="1" applyFill="1" applyAlignment="1">
      <alignment vertical="center"/>
    </xf>
    <xf numFmtId="1" fontId="36" fillId="34" borderId="21" xfId="0" applyNumberFormat="1" applyFont="1" applyFill="1" applyBorder="1" applyAlignment="1" applyProtection="1">
      <alignment/>
      <protection hidden="1"/>
    </xf>
    <xf numFmtId="1" fontId="38" fillId="35" borderId="21" xfId="0" applyNumberFormat="1" applyFont="1" applyFill="1" applyBorder="1" applyAlignment="1" applyProtection="1">
      <alignment/>
      <protection hidden="1"/>
    </xf>
    <xf numFmtId="1" fontId="38" fillId="35" borderId="21" xfId="42" applyNumberFormat="1" applyFont="1" applyFill="1" applyBorder="1" applyAlignment="1" applyProtection="1">
      <alignment/>
      <protection hidden="1"/>
    </xf>
    <xf numFmtId="180" fontId="38" fillId="34" borderId="0" xfId="0" applyNumberFormat="1" applyFont="1" applyFill="1" applyAlignment="1">
      <alignment vertical="center"/>
    </xf>
    <xf numFmtId="0" fontId="38" fillId="34" borderId="0" xfId="0" applyFont="1" applyFill="1" applyAlignment="1">
      <alignment horizontal="center" vertical="center"/>
    </xf>
    <xf numFmtId="185" fontId="36" fillId="34" borderId="0" xfId="63" applyNumberFormat="1" applyFont="1" applyFill="1" applyBorder="1" applyAlignment="1" applyProtection="1">
      <alignment/>
      <protection/>
    </xf>
    <xf numFmtId="0" fontId="22" fillId="34" borderId="10" xfId="0" applyFont="1" applyFill="1" applyBorder="1" applyAlignment="1">
      <alignment horizontal="center"/>
    </xf>
    <xf numFmtId="10" fontId="22" fillId="34" borderId="10" xfId="0" applyNumberFormat="1" applyFont="1" applyFill="1" applyBorder="1" applyAlignment="1">
      <alignment horizontal="center"/>
    </xf>
    <xf numFmtId="1" fontId="22" fillId="34" borderId="10" xfId="0" applyNumberFormat="1" applyFont="1" applyFill="1" applyBorder="1" applyAlignment="1">
      <alignment horizontal="center"/>
    </xf>
    <xf numFmtId="0" fontId="22" fillId="34" borderId="0" xfId="0" applyFont="1" applyFill="1" applyBorder="1" applyAlignment="1">
      <alignment vertical="center"/>
    </xf>
    <xf numFmtId="0" fontId="22" fillId="34" borderId="0" xfId="0" applyFont="1" applyFill="1" applyAlignment="1">
      <alignment vertical="center"/>
    </xf>
    <xf numFmtId="0" fontId="22" fillId="34" borderId="0" xfId="0" applyFont="1" applyFill="1" applyAlignment="1">
      <alignment horizontal="left" vertical="center"/>
    </xf>
    <xf numFmtId="0" fontId="22" fillId="34" borderId="0" xfId="0" applyFont="1" applyFill="1" applyBorder="1" applyAlignment="1">
      <alignment/>
    </xf>
    <xf numFmtId="0" fontId="22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1" fontId="22" fillId="34" borderId="0" xfId="0" applyNumberFormat="1" applyFont="1" applyFill="1" applyAlignment="1">
      <alignment vertical="center"/>
    </xf>
    <xf numFmtId="1" fontId="22" fillId="34" borderId="0" xfId="0" applyNumberFormat="1" applyFont="1" applyFill="1" applyAlignment="1">
      <alignment horizontal="left" vertical="center"/>
    </xf>
    <xf numFmtId="9" fontId="22" fillId="34" borderId="0" xfId="0" applyNumberFormat="1" applyFont="1" applyFill="1" applyAlignment="1">
      <alignment/>
    </xf>
    <xf numFmtId="0" fontId="26" fillId="34" borderId="0" xfId="0" applyFont="1" applyFill="1" applyBorder="1" applyAlignment="1">
      <alignment/>
    </xf>
    <xf numFmtId="0" fontId="26" fillId="34" borderId="0" xfId="0" applyFont="1" applyFill="1" applyAlignment="1">
      <alignment/>
    </xf>
    <xf numFmtId="0" fontId="26" fillId="34" borderId="0" xfId="0" applyFont="1" applyFill="1" applyAlignment="1">
      <alignment horizontal="left"/>
    </xf>
    <xf numFmtId="1" fontId="22" fillId="34" borderId="0" xfId="0" applyNumberFormat="1" applyFont="1" applyFill="1" applyBorder="1" applyAlignment="1">
      <alignment/>
    </xf>
    <xf numFmtId="1" fontId="26" fillId="34" borderId="0" xfId="0" applyNumberFormat="1" applyFont="1" applyFill="1" applyBorder="1" applyAlignment="1">
      <alignment/>
    </xf>
    <xf numFmtId="0" fontId="22" fillId="34" borderId="22" xfId="0" applyFont="1" applyFill="1" applyBorder="1" applyAlignment="1" applyProtection="1">
      <alignment/>
      <protection hidden="1"/>
    </xf>
    <xf numFmtId="9" fontId="22" fillId="34" borderId="0" xfId="0" applyNumberFormat="1" applyFont="1" applyFill="1" applyBorder="1" applyAlignment="1" applyProtection="1">
      <alignment/>
      <protection hidden="1"/>
    </xf>
    <xf numFmtId="0" fontId="22" fillId="34" borderId="0" xfId="0" applyFont="1" applyFill="1" applyBorder="1" applyAlignment="1" applyProtection="1">
      <alignment/>
      <protection hidden="1"/>
    </xf>
    <xf numFmtId="180" fontId="22" fillId="34" borderId="0" xfId="42" applyNumberFormat="1" applyFont="1" applyFill="1" applyBorder="1" applyAlignment="1" applyProtection="1">
      <alignment horizontal="center"/>
      <protection hidden="1"/>
    </xf>
    <xf numFmtId="180" fontId="22" fillId="34" borderId="0" xfId="42" applyNumberFormat="1" applyFont="1" applyFill="1" applyBorder="1" applyAlignment="1" applyProtection="1">
      <alignment/>
      <protection hidden="1"/>
    </xf>
    <xf numFmtId="185" fontId="22" fillId="34" borderId="0" xfId="63" applyNumberFormat="1" applyFont="1" applyFill="1" applyBorder="1" applyAlignment="1" applyProtection="1">
      <alignment/>
      <protection/>
    </xf>
    <xf numFmtId="0" fontId="26" fillId="34" borderId="0" xfId="0" applyFont="1" applyFill="1" applyAlignment="1">
      <alignment vertical="center"/>
    </xf>
    <xf numFmtId="0" fontId="22" fillId="34" borderId="0" xfId="0" applyFont="1" applyFill="1" applyBorder="1" applyAlignment="1" applyProtection="1">
      <alignment vertical="center"/>
      <protection hidden="1"/>
    </xf>
    <xf numFmtId="9" fontId="22" fillId="34" borderId="0" xfId="0" applyNumberFormat="1" applyFont="1" applyFill="1" applyBorder="1" applyAlignment="1" applyProtection="1">
      <alignment vertical="center"/>
      <protection hidden="1"/>
    </xf>
    <xf numFmtId="180" fontId="22" fillId="34" borderId="0" xfId="42" applyNumberFormat="1" applyFont="1" applyFill="1" applyBorder="1" applyAlignment="1" applyProtection="1">
      <alignment horizontal="center" vertical="center"/>
      <protection hidden="1"/>
    </xf>
    <xf numFmtId="180" fontId="22" fillId="34" borderId="0" xfId="42" applyNumberFormat="1" applyFont="1" applyFill="1" applyBorder="1" applyAlignment="1" applyProtection="1">
      <alignment vertical="center"/>
      <protection hidden="1"/>
    </xf>
    <xf numFmtId="180" fontId="22" fillId="34" borderId="0" xfId="0" applyNumberFormat="1" applyFont="1" applyFill="1" applyAlignment="1">
      <alignment vertical="center"/>
    </xf>
    <xf numFmtId="14" fontId="22" fillId="34" borderId="0" xfId="0" applyNumberFormat="1" applyFont="1" applyFill="1" applyAlignment="1">
      <alignment/>
    </xf>
    <xf numFmtId="183" fontId="22" fillId="34" borderId="0" xfId="0" applyNumberFormat="1" applyFont="1" applyFill="1" applyAlignment="1">
      <alignment/>
    </xf>
    <xf numFmtId="184" fontId="22" fillId="34" borderId="0" xfId="0" applyNumberFormat="1" applyFont="1" applyFill="1" applyAlignment="1">
      <alignment/>
    </xf>
    <xf numFmtId="4" fontId="22" fillId="34" borderId="0" xfId="0" applyNumberFormat="1" applyFont="1" applyFill="1" applyAlignment="1">
      <alignment/>
    </xf>
    <xf numFmtId="178" fontId="22" fillId="34" borderId="0" xfId="0" applyNumberFormat="1" applyFont="1" applyFill="1" applyAlignment="1">
      <alignment/>
    </xf>
    <xf numFmtId="0" fontId="22" fillId="34" borderId="0" xfId="0" applyFont="1" applyFill="1" applyBorder="1" applyAlignment="1" applyProtection="1">
      <alignment horizontal="center"/>
      <protection hidden="1"/>
    </xf>
    <xf numFmtId="4" fontId="26" fillId="34" borderId="0" xfId="0" applyNumberFormat="1" applyFont="1" applyFill="1" applyAlignment="1">
      <alignment/>
    </xf>
    <xf numFmtId="0" fontId="30" fillId="34" borderId="0" xfId="0" applyFont="1" applyFill="1" applyAlignment="1">
      <alignment/>
    </xf>
    <xf numFmtId="0" fontId="22" fillId="34" borderId="0" xfId="0" applyFont="1" applyFill="1" applyAlignment="1">
      <alignment horizontal="center"/>
    </xf>
    <xf numFmtId="1" fontId="22" fillId="34" borderId="0" xfId="0" applyNumberFormat="1" applyFont="1" applyFill="1" applyAlignment="1">
      <alignment/>
    </xf>
    <xf numFmtId="0" fontId="22" fillId="34" borderId="0" xfId="0" applyFont="1" applyFill="1" applyBorder="1" applyAlignment="1">
      <alignment horizontal="center" vertical="center"/>
    </xf>
    <xf numFmtId="1" fontId="22" fillId="34" borderId="0" xfId="0" applyNumberFormat="1" applyFont="1" applyFill="1" applyBorder="1" applyAlignment="1">
      <alignment horizontal="center" vertical="center"/>
    </xf>
    <xf numFmtId="0" fontId="38" fillId="34" borderId="0" xfId="0" applyFont="1" applyFill="1" applyBorder="1" applyAlignment="1">
      <alignment vertical="center"/>
    </xf>
    <xf numFmtId="185" fontId="22" fillId="34" borderId="0" xfId="63" applyNumberFormat="1" applyFont="1" applyFill="1" applyBorder="1" applyAlignment="1" applyProtection="1">
      <alignment vertical="center"/>
      <protection/>
    </xf>
    <xf numFmtId="180" fontId="22" fillId="34" borderId="0" xfId="0" applyNumberFormat="1" applyFont="1" applyFill="1" applyBorder="1" applyAlignment="1">
      <alignment vertical="center"/>
    </xf>
    <xf numFmtId="0" fontId="22" fillId="34" borderId="0" xfId="0" applyFont="1" applyFill="1" applyAlignment="1">
      <alignment horizontal="center" vertical="center"/>
    </xf>
    <xf numFmtId="9" fontId="26" fillId="34" borderId="21" xfId="0" applyNumberFormat="1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vertical="center" wrapText="1"/>
      <protection hidden="1"/>
    </xf>
    <xf numFmtId="0" fontId="22" fillId="34" borderId="0" xfId="0" applyFont="1" applyFill="1" applyBorder="1" applyAlignment="1">
      <alignment horizontal="left"/>
    </xf>
    <xf numFmtId="9" fontId="22" fillId="34" borderId="0" xfId="0" applyNumberFormat="1" applyFont="1" applyFill="1" applyBorder="1" applyAlignment="1">
      <alignment horizontal="left"/>
    </xf>
    <xf numFmtId="0" fontId="26" fillId="34" borderId="0" xfId="0" applyFont="1" applyFill="1" applyBorder="1" applyAlignment="1">
      <alignment horizontal="left"/>
    </xf>
    <xf numFmtId="0" fontId="26" fillId="34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right"/>
    </xf>
    <xf numFmtId="0" fontId="22" fillId="34" borderId="0" xfId="0" applyFont="1" applyFill="1" applyBorder="1" applyAlignment="1" applyProtection="1">
      <alignment horizontal="left"/>
      <protection hidden="1"/>
    </xf>
    <xf numFmtId="0" fontId="22" fillId="34" borderId="0" xfId="0" applyFont="1" applyFill="1" applyBorder="1" applyAlignment="1" applyProtection="1">
      <alignment horizontal="right"/>
      <protection hidden="1"/>
    </xf>
    <xf numFmtId="0" fontId="22" fillId="34" borderId="0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right"/>
    </xf>
    <xf numFmtId="0" fontId="22" fillId="34" borderId="10" xfId="0" applyFont="1" applyFill="1" applyBorder="1" applyAlignment="1">
      <alignment horizontal="left"/>
    </xf>
    <xf numFmtId="10" fontId="22" fillId="34" borderId="10" xfId="0" applyNumberFormat="1" applyFont="1" applyFill="1" applyBorder="1" applyAlignment="1">
      <alignment horizontal="left"/>
    </xf>
    <xf numFmtId="1" fontId="22" fillId="34" borderId="23" xfId="42" applyNumberFormat="1" applyFont="1" applyFill="1" applyBorder="1" applyAlignment="1" applyProtection="1">
      <alignment vertical="center"/>
      <protection locked="0"/>
    </xf>
    <xf numFmtId="0" fontId="22" fillId="34" borderId="23" xfId="0" applyFont="1" applyFill="1" applyBorder="1" applyAlignment="1">
      <alignment vertical="center"/>
    </xf>
    <xf numFmtId="0" fontId="22" fillId="34" borderId="23" xfId="42" applyNumberFormat="1" applyFont="1" applyFill="1" applyBorder="1" applyAlignment="1" applyProtection="1">
      <alignment horizontal="center" vertical="center"/>
      <protection locked="0"/>
    </xf>
    <xf numFmtId="0" fontId="22" fillId="34" borderId="23" xfId="0" applyFont="1" applyFill="1" applyBorder="1" applyAlignment="1" applyProtection="1">
      <alignment horizontal="center" vertical="center"/>
      <protection locked="0"/>
    </xf>
    <xf numFmtId="0" fontId="22" fillId="34" borderId="23" xfId="0" applyFont="1" applyFill="1" applyBorder="1" applyAlignment="1">
      <alignment/>
    </xf>
    <xf numFmtId="0" fontId="22" fillId="34" borderId="23" xfId="0" applyFont="1" applyFill="1" applyBorder="1" applyAlignment="1" applyProtection="1">
      <alignment vertical="center"/>
      <protection locked="0"/>
    </xf>
    <xf numFmtId="1" fontId="22" fillId="34" borderId="23" xfId="42" applyNumberFormat="1" applyFont="1" applyFill="1" applyBorder="1" applyAlignment="1" applyProtection="1">
      <alignment vertical="center"/>
      <protection hidden="1"/>
    </xf>
    <xf numFmtId="0" fontId="22" fillId="34" borderId="23" xfId="0" applyFont="1" applyFill="1" applyBorder="1" applyAlignment="1">
      <alignment/>
    </xf>
    <xf numFmtId="0" fontId="36" fillId="34" borderId="23" xfId="0" applyFont="1" applyFill="1" applyBorder="1" applyAlignment="1" applyProtection="1">
      <alignment horizontal="center"/>
      <protection locked="0"/>
    </xf>
    <xf numFmtId="1" fontId="36" fillId="34" borderId="23" xfId="42" applyNumberFormat="1" applyFont="1" applyFill="1" applyBorder="1" applyAlignment="1" applyProtection="1">
      <alignment/>
      <protection hidden="1"/>
    </xf>
    <xf numFmtId="0" fontId="26" fillId="36" borderId="23" xfId="0" applyFont="1" applyFill="1" applyBorder="1" applyAlignment="1">
      <alignment horizontal="center" vertical="center"/>
    </xf>
    <xf numFmtId="0" fontId="26" fillId="36" borderId="23" xfId="0" applyFont="1" applyFill="1" applyBorder="1" applyAlignment="1" applyProtection="1">
      <alignment vertical="center"/>
      <protection locked="0"/>
    </xf>
    <xf numFmtId="1" fontId="26" fillId="36" borderId="23" xfId="42" applyNumberFormat="1" applyFont="1" applyFill="1" applyBorder="1" applyAlignment="1" applyProtection="1">
      <alignment vertical="center"/>
      <protection hidden="1"/>
    </xf>
    <xf numFmtId="1" fontId="22" fillId="34" borderId="23" xfId="42" applyNumberFormat="1" applyFont="1" applyFill="1" applyBorder="1" applyAlignment="1" applyProtection="1">
      <alignment/>
      <protection hidden="1"/>
    </xf>
    <xf numFmtId="9" fontId="22" fillId="34" borderId="23" xfId="0" applyNumberFormat="1" applyFont="1" applyFill="1" applyBorder="1" applyAlignment="1" applyProtection="1">
      <alignment horizontal="center" vertical="center"/>
      <protection locked="0"/>
    </xf>
    <xf numFmtId="0" fontId="22" fillId="34" borderId="23" xfId="0" applyFont="1" applyFill="1" applyBorder="1" applyAlignment="1" applyProtection="1">
      <alignment vertical="center"/>
      <protection hidden="1"/>
    </xf>
    <xf numFmtId="0" fontId="22" fillId="34" borderId="23" xfId="42" applyNumberFormat="1" applyFont="1" applyFill="1" applyBorder="1" applyAlignment="1" applyProtection="1">
      <alignment vertical="center"/>
      <protection hidden="1"/>
    </xf>
    <xf numFmtId="0" fontId="22" fillId="36" borderId="23" xfId="0" applyFont="1" applyFill="1" applyBorder="1" applyAlignment="1" applyProtection="1">
      <alignment vertical="center"/>
      <protection locked="0"/>
    </xf>
    <xf numFmtId="1" fontId="22" fillId="36" borderId="23" xfId="42" applyNumberFormat="1" applyFont="1" applyFill="1" applyBorder="1" applyAlignment="1" applyProtection="1">
      <alignment vertical="center"/>
      <protection hidden="1"/>
    </xf>
    <xf numFmtId="0" fontId="26" fillId="36" borderId="23" xfId="0" applyFont="1" applyFill="1" applyBorder="1" applyAlignment="1">
      <alignment vertical="center"/>
    </xf>
    <xf numFmtId="9" fontId="22" fillId="34" borderId="23" xfId="63" applyNumberFormat="1" applyFont="1" applyFill="1" applyBorder="1" applyAlignment="1" applyProtection="1">
      <alignment horizontal="center" vertical="center"/>
      <protection locked="0"/>
    </xf>
    <xf numFmtId="0" fontId="26" fillId="34" borderId="23" xfId="0" applyFont="1" applyFill="1" applyBorder="1" applyAlignment="1">
      <alignment vertical="center"/>
    </xf>
    <xf numFmtId="1" fontId="22" fillId="37" borderId="23" xfId="42" applyNumberFormat="1" applyFont="1" applyFill="1" applyBorder="1" applyAlignment="1" applyProtection="1">
      <alignment vertical="center"/>
      <protection hidden="1"/>
    </xf>
    <xf numFmtId="1" fontId="26" fillId="36" borderId="23" xfId="0" applyNumberFormat="1" applyFont="1" applyFill="1" applyBorder="1" applyAlignment="1" applyProtection="1">
      <alignment vertical="center"/>
      <protection hidden="1"/>
    </xf>
    <xf numFmtId="180" fontId="26" fillId="34" borderId="23" xfId="42" applyNumberFormat="1" applyFont="1" applyFill="1" applyBorder="1" applyAlignment="1" applyProtection="1">
      <alignment horizontal="center"/>
      <protection hidden="1"/>
    </xf>
    <xf numFmtId="0" fontId="26" fillId="34" borderId="23" xfId="0" applyFont="1" applyFill="1" applyBorder="1" applyAlignment="1" applyProtection="1">
      <alignment horizontal="center"/>
      <protection hidden="1"/>
    </xf>
    <xf numFmtId="0" fontId="26" fillId="34" borderId="23" xfId="0" applyFont="1" applyFill="1" applyBorder="1" applyAlignment="1">
      <alignment horizontal="center" vertical="center"/>
    </xf>
    <xf numFmtId="1" fontId="22" fillId="34" borderId="23" xfId="0" applyNumberFormat="1" applyFont="1" applyFill="1" applyBorder="1" applyAlignment="1" applyProtection="1">
      <alignment horizontal="right"/>
      <protection hidden="1"/>
    </xf>
    <xf numFmtId="1" fontId="26" fillId="34" borderId="23" xfId="42" applyNumberFormat="1" applyFont="1" applyFill="1" applyBorder="1" applyAlignment="1" applyProtection="1">
      <alignment/>
      <protection hidden="1"/>
    </xf>
    <xf numFmtId="1" fontId="22" fillId="34" borderId="23" xfId="0" applyNumberFormat="1" applyFont="1" applyFill="1" applyBorder="1" applyAlignment="1" applyProtection="1">
      <alignment/>
      <protection hidden="1"/>
    </xf>
    <xf numFmtId="1" fontId="26" fillId="35" borderId="23" xfId="0" applyNumberFormat="1" applyFont="1" applyFill="1" applyBorder="1" applyAlignment="1" applyProtection="1">
      <alignment/>
      <protection hidden="1"/>
    </xf>
    <xf numFmtId="1" fontId="22" fillId="34" borderId="23" xfId="42" applyNumberFormat="1" applyFont="1" applyFill="1" applyBorder="1" applyAlignment="1" applyProtection="1">
      <alignment/>
      <protection locked="0"/>
    </xf>
    <xf numFmtId="0" fontId="22" fillId="34" borderId="23" xfId="42" applyNumberFormat="1" applyFont="1" applyFill="1" applyBorder="1" applyAlignment="1" applyProtection="1">
      <alignment horizontal="center"/>
      <protection locked="0"/>
    </xf>
    <xf numFmtId="0" fontId="22" fillId="34" borderId="23" xfId="0" applyFont="1" applyFill="1" applyBorder="1" applyAlignment="1" applyProtection="1">
      <alignment horizontal="center"/>
      <protection locked="0"/>
    </xf>
    <xf numFmtId="0" fontId="22" fillId="34" borderId="23" xfId="0" applyFont="1" applyFill="1" applyBorder="1" applyAlignment="1" applyProtection="1">
      <alignment/>
      <protection locked="0"/>
    </xf>
    <xf numFmtId="1" fontId="26" fillId="36" borderId="23" xfId="42" applyNumberFormat="1" applyFont="1" applyFill="1" applyBorder="1" applyAlignment="1" applyProtection="1">
      <alignment/>
      <protection hidden="1"/>
    </xf>
    <xf numFmtId="9" fontId="22" fillId="34" borderId="23" xfId="0" applyNumberFormat="1" applyFont="1" applyFill="1" applyBorder="1" applyAlignment="1" applyProtection="1">
      <alignment horizontal="center"/>
      <protection locked="0"/>
    </xf>
    <xf numFmtId="0" fontId="22" fillId="34" borderId="23" xfId="0" applyFont="1" applyFill="1" applyBorder="1" applyAlignment="1" applyProtection="1">
      <alignment/>
      <protection hidden="1"/>
    </xf>
    <xf numFmtId="0" fontId="22" fillId="36" borderId="23" xfId="0" applyFont="1" applyFill="1" applyBorder="1" applyAlignment="1">
      <alignment/>
    </xf>
    <xf numFmtId="1" fontId="22" fillId="36" borderId="23" xfId="42" applyNumberFormat="1" applyFont="1" applyFill="1" applyBorder="1" applyAlignment="1" applyProtection="1">
      <alignment/>
      <protection hidden="1"/>
    </xf>
    <xf numFmtId="0" fontId="22" fillId="36" borderId="23" xfId="0" applyFont="1" applyFill="1" applyBorder="1" applyAlignment="1" applyProtection="1">
      <alignment/>
      <protection locked="0"/>
    </xf>
    <xf numFmtId="0" fontId="26" fillId="36" borderId="23" xfId="0" applyFont="1" applyFill="1" applyBorder="1" applyAlignment="1">
      <alignment/>
    </xf>
    <xf numFmtId="9" fontId="22" fillId="34" borderId="23" xfId="63" applyNumberFormat="1" applyFont="1" applyFill="1" applyBorder="1" applyAlignment="1" applyProtection="1">
      <alignment/>
      <protection locked="0"/>
    </xf>
    <xf numFmtId="9" fontId="22" fillId="34" borderId="23" xfId="0" applyNumberFormat="1" applyFont="1" applyFill="1" applyBorder="1" applyAlignment="1" applyProtection="1">
      <alignment/>
      <protection locked="0"/>
    </xf>
    <xf numFmtId="1" fontId="22" fillId="36" borderId="23" xfId="0" applyNumberFormat="1" applyFont="1" applyFill="1" applyBorder="1" applyAlignment="1" applyProtection="1">
      <alignment/>
      <protection hidden="1"/>
    </xf>
    <xf numFmtId="0" fontId="22" fillId="34" borderId="23" xfId="0" applyFont="1" applyFill="1" applyBorder="1" applyAlignment="1" applyProtection="1">
      <alignment horizontal="center"/>
      <protection hidden="1"/>
    </xf>
    <xf numFmtId="180" fontId="22" fillId="34" borderId="23" xfId="42" applyNumberFormat="1" applyFont="1" applyFill="1" applyBorder="1" applyAlignment="1" applyProtection="1">
      <alignment/>
      <protection hidden="1"/>
    </xf>
    <xf numFmtId="1" fontId="38" fillId="36" borderId="23" xfId="0" applyNumberFormat="1" applyFont="1" applyFill="1" applyBorder="1" applyAlignment="1" applyProtection="1">
      <alignment/>
      <protection hidden="1"/>
    </xf>
    <xf numFmtId="1" fontId="38" fillId="36" borderId="23" xfId="42" applyNumberFormat="1" applyFont="1" applyFill="1" applyBorder="1" applyAlignment="1" applyProtection="1">
      <alignment/>
      <protection hidden="1"/>
    </xf>
    <xf numFmtId="1" fontId="36" fillId="34" borderId="23" xfId="42" applyNumberFormat="1" applyFont="1" applyFill="1" applyBorder="1" applyAlignment="1" applyProtection="1">
      <alignment/>
      <protection locked="0"/>
    </xf>
    <xf numFmtId="0" fontId="36" fillId="34" borderId="23" xfId="0" applyFont="1" applyFill="1" applyBorder="1" applyAlignment="1">
      <alignment/>
    </xf>
    <xf numFmtId="0" fontId="36" fillId="34" borderId="23" xfId="42" applyNumberFormat="1" applyFont="1" applyFill="1" applyBorder="1" applyAlignment="1" applyProtection="1">
      <alignment horizontal="center"/>
      <protection locked="0"/>
    </xf>
    <xf numFmtId="0" fontId="36" fillId="34" borderId="23" xfId="0" applyFont="1" applyFill="1" applyBorder="1" applyAlignment="1" applyProtection="1">
      <alignment/>
      <protection locked="0"/>
    </xf>
    <xf numFmtId="0" fontId="38" fillId="36" borderId="23" xfId="0" applyFont="1" applyFill="1" applyBorder="1" applyAlignment="1">
      <alignment/>
    </xf>
    <xf numFmtId="0" fontId="36" fillId="36" borderId="23" xfId="0" applyFont="1" applyFill="1" applyBorder="1" applyAlignment="1" applyProtection="1">
      <alignment/>
      <protection locked="0"/>
    </xf>
    <xf numFmtId="1" fontId="36" fillId="36" borderId="23" xfId="42" applyNumberFormat="1" applyFont="1" applyFill="1" applyBorder="1" applyAlignment="1" applyProtection="1">
      <alignment/>
      <protection hidden="1"/>
    </xf>
    <xf numFmtId="0" fontId="38" fillId="36" borderId="23" xfId="0" applyFont="1" applyFill="1" applyBorder="1" applyAlignment="1" applyProtection="1">
      <alignment/>
      <protection locked="0"/>
    </xf>
    <xf numFmtId="0" fontId="36" fillId="36" borderId="23" xfId="0" applyFont="1" applyFill="1" applyBorder="1" applyAlignment="1" applyProtection="1">
      <alignment horizontal="center"/>
      <protection locked="0"/>
    </xf>
    <xf numFmtId="0" fontId="36" fillId="34" borderId="23" xfId="0" applyFont="1" applyFill="1" applyBorder="1" applyAlignment="1" applyProtection="1">
      <alignment/>
      <protection hidden="1"/>
    </xf>
    <xf numFmtId="0" fontId="38" fillId="34" borderId="23" xfId="0" applyFont="1" applyFill="1" applyBorder="1" applyAlignment="1">
      <alignment/>
    </xf>
    <xf numFmtId="0" fontId="36" fillId="36" borderId="23" xfId="0" applyFont="1" applyFill="1" applyBorder="1" applyAlignment="1">
      <alignment/>
    </xf>
    <xf numFmtId="9" fontId="36" fillId="34" borderId="23" xfId="63" applyNumberFormat="1" applyFont="1" applyFill="1" applyBorder="1" applyAlignment="1" applyProtection="1">
      <alignment/>
      <protection locked="0"/>
    </xf>
    <xf numFmtId="9" fontId="36" fillId="34" borderId="23" xfId="0" applyNumberFormat="1" applyFont="1" applyFill="1" applyBorder="1" applyAlignment="1" applyProtection="1">
      <alignment vertical="center"/>
      <protection locked="0"/>
    </xf>
    <xf numFmtId="180" fontId="38" fillId="34" borderId="23" xfId="42" applyNumberFormat="1" applyFont="1" applyFill="1" applyBorder="1" applyAlignment="1" applyProtection="1">
      <alignment horizontal="center"/>
      <protection hidden="1"/>
    </xf>
    <xf numFmtId="0" fontId="38" fillId="34" borderId="23" xfId="0" applyFont="1" applyFill="1" applyBorder="1" applyAlignment="1" applyProtection="1">
      <alignment horizontal="center"/>
      <protection hidden="1"/>
    </xf>
    <xf numFmtId="0" fontId="38" fillId="34" borderId="23" xfId="0" applyFont="1" applyFill="1" applyBorder="1" applyAlignment="1">
      <alignment horizontal="center" vertical="center"/>
    </xf>
    <xf numFmtId="1" fontId="36" fillId="34" borderId="23" xfId="0" applyNumberFormat="1" applyFont="1" applyFill="1" applyBorder="1" applyAlignment="1" applyProtection="1">
      <alignment horizontal="right"/>
      <protection hidden="1"/>
    </xf>
    <xf numFmtId="1" fontId="38" fillId="34" borderId="23" xfId="42" applyNumberFormat="1" applyFont="1" applyFill="1" applyBorder="1" applyAlignment="1" applyProtection="1">
      <alignment/>
      <protection hidden="1"/>
    </xf>
    <xf numFmtId="1" fontId="36" fillId="34" borderId="23" xfId="0" applyNumberFormat="1" applyFont="1" applyFill="1" applyBorder="1" applyAlignment="1" applyProtection="1">
      <alignment/>
      <protection hidden="1"/>
    </xf>
    <xf numFmtId="1" fontId="38" fillId="35" borderId="23" xfId="0" applyNumberFormat="1" applyFont="1" applyFill="1" applyBorder="1" applyAlignment="1" applyProtection="1">
      <alignment/>
      <protection hidden="1"/>
    </xf>
    <xf numFmtId="1" fontId="38" fillId="35" borderId="23" xfId="42" applyNumberFormat="1" applyFont="1" applyFill="1" applyBorder="1" applyAlignment="1" applyProtection="1">
      <alignment/>
      <protection hidden="1"/>
    </xf>
    <xf numFmtId="0" fontId="36" fillId="34" borderId="23" xfId="0" applyFont="1" applyFill="1" applyBorder="1" applyAlignment="1">
      <alignment horizontal="center"/>
    </xf>
    <xf numFmtId="0" fontId="36" fillId="34" borderId="0" xfId="0" applyFont="1" applyFill="1" applyBorder="1" applyAlignment="1">
      <alignment vertical="center"/>
    </xf>
    <xf numFmtId="1" fontId="36" fillId="34" borderId="0" xfId="0" applyNumberFormat="1" applyFont="1" applyFill="1" applyBorder="1" applyAlignment="1">
      <alignment vertical="center"/>
    </xf>
    <xf numFmtId="9" fontId="36" fillId="34" borderId="0" xfId="0" applyNumberFormat="1" applyFont="1" applyFill="1" applyAlignment="1">
      <alignment vertical="center"/>
    </xf>
    <xf numFmtId="0" fontId="26" fillId="34" borderId="0" xfId="0" applyFont="1" applyFill="1" applyBorder="1" applyAlignment="1">
      <alignment vertical="center"/>
    </xf>
    <xf numFmtId="0" fontId="36" fillId="34" borderId="0" xfId="0" applyFont="1" applyFill="1" applyBorder="1" applyAlignment="1" applyProtection="1">
      <alignment vertical="center"/>
      <protection hidden="1"/>
    </xf>
    <xf numFmtId="9" fontId="36" fillId="34" borderId="0" xfId="0" applyNumberFormat="1" applyFont="1" applyFill="1" applyBorder="1" applyAlignment="1" applyProtection="1">
      <alignment vertical="center"/>
      <protection hidden="1"/>
    </xf>
    <xf numFmtId="180" fontId="36" fillId="34" borderId="0" xfId="42" applyNumberFormat="1" applyFont="1" applyFill="1" applyBorder="1" applyAlignment="1" applyProtection="1">
      <alignment horizontal="center" vertical="center"/>
      <protection hidden="1"/>
    </xf>
    <xf numFmtId="180" fontId="36" fillId="34" borderId="0" xfId="42" applyNumberFormat="1" applyFont="1" applyFill="1" applyBorder="1" applyAlignment="1" applyProtection="1">
      <alignment vertical="center"/>
      <protection hidden="1"/>
    </xf>
    <xf numFmtId="185" fontId="36" fillId="34" borderId="0" xfId="63" applyNumberFormat="1" applyFont="1" applyFill="1" applyBorder="1" applyAlignment="1" applyProtection="1">
      <alignment vertical="center"/>
      <protection/>
    </xf>
    <xf numFmtId="0" fontId="22" fillId="34" borderId="10" xfId="0" applyFont="1" applyFill="1" applyBorder="1" applyAlignment="1">
      <alignment horizontal="center" vertical="center"/>
    </xf>
    <xf numFmtId="10" fontId="22" fillId="34" borderId="10" xfId="0" applyNumberFormat="1" applyFont="1" applyFill="1" applyBorder="1" applyAlignment="1">
      <alignment horizontal="center" vertical="center"/>
    </xf>
    <xf numFmtId="1" fontId="22" fillId="34" borderId="10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center"/>
    </xf>
    <xf numFmtId="0" fontId="33" fillId="34" borderId="0" xfId="0" applyFont="1" applyFill="1" applyBorder="1" applyAlignment="1">
      <alignment/>
    </xf>
    <xf numFmtId="1" fontId="33" fillId="34" borderId="0" xfId="0" applyNumberFormat="1" applyFont="1" applyFill="1" applyBorder="1" applyAlignment="1">
      <alignment/>
    </xf>
    <xf numFmtId="0" fontId="33" fillId="34" borderId="0" xfId="0" applyFont="1" applyFill="1" applyBorder="1" applyAlignment="1">
      <alignment/>
    </xf>
    <xf numFmtId="0" fontId="33" fillId="34" borderId="0" xfId="0" applyFont="1" applyFill="1" applyBorder="1" applyAlignment="1">
      <alignment horizontal="center"/>
    </xf>
    <xf numFmtId="0" fontId="33" fillId="34" borderId="0" xfId="0" applyFont="1" applyFill="1" applyAlignment="1">
      <alignment/>
    </xf>
    <xf numFmtId="0" fontId="46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1" fontId="15" fillId="34" borderId="0" xfId="0" applyNumberFormat="1" applyFont="1" applyFill="1" applyBorder="1" applyAlignment="1" applyProtection="1">
      <alignment/>
      <protection hidden="1"/>
    </xf>
    <xf numFmtId="0" fontId="45" fillId="34" borderId="0" xfId="0" applyFont="1" applyFill="1" applyBorder="1" applyAlignment="1">
      <alignment/>
    </xf>
    <xf numFmtId="1" fontId="15" fillId="34" borderId="0" xfId="42" applyNumberFormat="1" applyFont="1" applyFill="1" applyBorder="1" applyAlignment="1" applyProtection="1">
      <alignment/>
      <protection hidden="1"/>
    </xf>
    <xf numFmtId="0" fontId="15" fillId="34" borderId="0" xfId="0" applyFont="1" applyFill="1" applyBorder="1" applyAlignment="1" applyProtection="1">
      <alignment/>
      <protection hidden="1"/>
    </xf>
    <xf numFmtId="9" fontId="15" fillId="34" borderId="0" xfId="0" applyNumberFormat="1" applyFont="1" applyFill="1" applyBorder="1" applyAlignment="1" applyProtection="1">
      <alignment/>
      <protection hidden="1"/>
    </xf>
    <xf numFmtId="180" fontId="15" fillId="34" borderId="0" xfId="42" applyNumberFormat="1" applyFont="1" applyFill="1" applyBorder="1" applyAlignment="1" applyProtection="1">
      <alignment horizontal="center"/>
      <protection hidden="1"/>
    </xf>
    <xf numFmtId="180" fontId="15" fillId="34" borderId="0" xfId="42" applyNumberFormat="1" applyFont="1" applyFill="1" applyBorder="1" applyAlignment="1" applyProtection="1">
      <alignment/>
      <protection hidden="1"/>
    </xf>
    <xf numFmtId="185" fontId="15" fillId="34" borderId="0" xfId="63" applyNumberFormat="1" applyFont="1" applyFill="1" applyBorder="1" applyAlignment="1" applyProtection="1">
      <alignment/>
      <protection/>
    </xf>
    <xf numFmtId="0" fontId="15" fillId="34" borderId="0" xfId="0" applyFont="1" applyFill="1" applyAlignment="1">
      <alignment vertical="center"/>
    </xf>
    <xf numFmtId="0" fontId="15" fillId="34" borderId="0" xfId="0" applyFont="1" applyFill="1" applyAlignment="1">
      <alignment horizontal="center" vertical="center"/>
    </xf>
    <xf numFmtId="180" fontId="15" fillId="34" borderId="0" xfId="0" applyNumberFormat="1" applyFont="1" applyFill="1" applyBorder="1" applyAlignment="1">
      <alignment/>
    </xf>
    <xf numFmtId="0" fontId="15" fillId="34" borderId="10" xfId="0" applyFont="1" applyFill="1" applyBorder="1" applyAlignment="1">
      <alignment horizontal="center"/>
    </xf>
    <xf numFmtId="1" fontId="15" fillId="34" borderId="10" xfId="0" applyNumberFormat="1" applyFont="1" applyFill="1" applyBorder="1" applyAlignment="1">
      <alignment horizontal="center"/>
    </xf>
    <xf numFmtId="180" fontId="38" fillId="34" borderId="0" xfId="42" applyNumberFormat="1" applyFont="1" applyFill="1" applyBorder="1" applyAlignment="1" applyProtection="1">
      <alignment/>
      <protection hidden="1"/>
    </xf>
    <xf numFmtId="180" fontId="38" fillId="34" borderId="21" xfId="42" applyNumberFormat="1" applyFont="1" applyFill="1" applyBorder="1" applyAlignment="1" applyProtection="1">
      <alignment horizontal="right"/>
      <protection hidden="1"/>
    </xf>
    <xf numFmtId="1" fontId="22" fillId="34" borderId="23" xfId="42" applyNumberFormat="1" applyFont="1" applyFill="1" applyBorder="1" applyAlignment="1" applyProtection="1">
      <alignment horizontal="right"/>
      <protection locked="0"/>
    </xf>
    <xf numFmtId="0" fontId="22" fillId="34" borderId="23" xfId="42" applyNumberFormat="1" applyFont="1" applyFill="1" applyBorder="1" applyAlignment="1" applyProtection="1">
      <alignment horizontal="right"/>
      <protection locked="0"/>
    </xf>
    <xf numFmtId="0" fontId="22" fillId="34" borderId="23" xfId="0" applyFont="1" applyFill="1" applyBorder="1" applyAlignment="1" applyProtection="1">
      <alignment horizontal="right"/>
      <protection locked="0"/>
    </xf>
    <xf numFmtId="0" fontId="22" fillId="34" borderId="23" xfId="0" applyFont="1" applyFill="1" applyBorder="1" applyAlignment="1">
      <alignment horizontal="left"/>
    </xf>
    <xf numFmtId="1" fontId="22" fillId="34" borderId="23" xfId="42" applyNumberFormat="1" applyFont="1" applyFill="1" applyBorder="1" applyAlignment="1" applyProtection="1">
      <alignment horizontal="right"/>
      <protection hidden="1"/>
    </xf>
    <xf numFmtId="0" fontId="26" fillId="35" borderId="23" xfId="0" applyFont="1" applyFill="1" applyBorder="1" applyAlignment="1">
      <alignment horizontal="left"/>
    </xf>
    <xf numFmtId="0" fontId="22" fillId="35" borderId="23" xfId="0" applyFont="1" applyFill="1" applyBorder="1" applyAlignment="1" applyProtection="1">
      <alignment horizontal="center"/>
      <protection locked="0"/>
    </xf>
    <xf numFmtId="1" fontId="22" fillId="35" borderId="23" xfId="42" applyNumberFormat="1" applyFont="1" applyFill="1" applyBorder="1" applyAlignment="1" applyProtection="1">
      <alignment horizontal="right"/>
      <protection hidden="1"/>
    </xf>
    <xf numFmtId="0" fontId="26" fillId="35" borderId="23" xfId="0" applyFont="1" applyFill="1" applyBorder="1" applyAlignment="1" applyProtection="1">
      <alignment horizontal="center"/>
      <protection locked="0"/>
    </xf>
    <xf numFmtId="0" fontId="0" fillId="34" borderId="23" xfId="0" applyFont="1" applyFill="1" applyBorder="1" applyAlignment="1">
      <alignment horizontal="left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1" fontId="0" fillId="34" borderId="23" xfId="42" applyNumberFormat="1" applyFont="1" applyFill="1" applyBorder="1" applyAlignment="1" applyProtection="1">
      <alignment horizontal="right"/>
      <protection hidden="1"/>
    </xf>
    <xf numFmtId="0" fontId="22" fillId="34" borderId="23" xfId="0" applyFont="1" applyFill="1" applyBorder="1" applyAlignment="1" applyProtection="1">
      <alignment horizontal="left"/>
      <protection hidden="1"/>
    </xf>
    <xf numFmtId="0" fontId="26" fillId="34" borderId="23" xfId="0" applyFont="1" applyFill="1" applyBorder="1" applyAlignment="1">
      <alignment horizontal="left"/>
    </xf>
    <xf numFmtId="0" fontId="36" fillId="35" borderId="23" xfId="0" applyFont="1" applyFill="1" applyBorder="1" applyAlignment="1">
      <alignment horizontal="left"/>
    </xf>
    <xf numFmtId="0" fontId="36" fillId="35" borderId="23" xfId="0" applyFont="1" applyFill="1" applyBorder="1" applyAlignment="1" applyProtection="1">
      <alignment horizontal="center"/>
      <protection locked="0"/>
    </xf>
    <xf numFmtId="1" fontId="36" fillId="35" borderId="23" xfId="42" applyNumberFormat="1" applyFont="1" applyFill="1" applyBorder="1" applyAlignment="1" applyProtection="1">
      <alignment horizontal="right"/>
      <protection hidden="1"/>
    </xf>
    <xf numFmtId="9" fontId="22" fillId="34" borderId="23" xfId="42" applyNumberFormat="1" applyFont="1" applyFill="1" applyBorder="1" applyAlignment="1" applyProtection="1">
      <alignment horizontal="center" vertical="center"/>
      <protection locked="0"/>
    </xf>
    <xf numFmtId="1" fontId="26" fillId="34" borderId="23" xfId="42" applyNumberFormat="1" applyFont="1" applyFill="1" applyBorder="1" applyAlignment="1" applyProtection="1">
      <alignment horizontal="right"/>
      <protection hidden="1"/>
    </xf>
    <xf numFmtId="1" fontId="26" fillId="35" borderId="23" xfId="0" applyNumberFormat="1" applyFont="1" applyFill="1" applyBorder="1" applyAlignment="1" applyProtection="1">
      <alignment horizontal="right"/>
      <protection hidden="1"/>
    </xf>
    <xf numFmtId="1" fontId="26" fillId="35" borderId="23" xfId="42" applyNumberFormat="1" applyFont="1" applyFill="1" applyBorder="1" applyAlignment="1" applyProtection="1">
      <alignment horizontal="right"/>
      <protection hidden="1"/>
    </xf>
    <xf numFmtId="187" fontId="15" fillId="33" borderId="10" xfId="0" applyNumberFormat="1" applyFont="1" applyFill="1" applyBorder="1" applyAlignment="1">
      <alignment horizontal="center"/>
    </xf>
    <xf numFmtId="180" fontId="26" fillId="34" borderId="23" xfId="42" applyNumberFormat="1" applyFont="1" applyFill="1" applyBorder="1" applyAlignment="1" applyProtection="1">
      <alignment horizontal="left"/>
      <protection hidden="1"/>
    </xf>
    <xf numFmtId="0" fontId="26" fillId="34" borderId="23" xfId="0" applyFont="1" applyFill="1" applyBorder="1" applyAlignment="1">
      <alignment horizontal="right" vertical="center"/>
    </xf>
    <xf numFmtId="0" fontId="26" fillId="34" borderId="23" xfId="0" applyFont="1" applyFill="1" applyBorder="1" applyAlignment="1">
      <alignment horizontal="center"/>
    </xf>
    <xf numFmtId="0" fontId="26" fillId="34" borderId="23" xfId="0" applyFont="1" applyFill="1" applyBorder="1" applyAlignment="1">
      <alignment horizontal="right"/>
    </xf>
    <xf numFmtId="1" fontId="22" fillId="34" borderId="23" xfId="0" applyNumberFormat="1" applyFont="1" applyFill="1" applyBorder="1" applyAlignment="1" applyProtection="1">
      <alignment horizontal="left"/>
      <protection hidden="1"/>
    </xf>
    <xf numFmtId="1" fontId="22" fillId="34" borderId="23" xfId="42" applyNumberFormat="1" applyFont="1" applyFill="1" applyBorder="1" applyAlignment="1" applyProtection="1">
      <alignment horizontal="center"/>
      <protection hidden="1"/>
    </xf>
    <xf numFmtId="1" fontId="22" fillId="34" borderId="23" xfId="0" applyNumberFormat="1" applyFont="1" applyFill="1" applyBorder="1" applyAlignment="1" applyProtection="1">
      <alignment horizontal="center"/>
      <protection hidden="1"/>
    </xf>
    <xf numFmtId="1" fontId="26" fillId="35" borderId="23" xfId="0" applyNumberFormat="1" applyFont="1" applyFill="1" applyBorder="1" applyAlignment="1" applyProtection="1">
      <alignment horizontal="left"/>
      <protection hidden="1"/>
    </xf>
    <xf numFmtId="1" fontId="26" fillId="35" borderId="23" xfId="0" applyNumberFormat="1" applyFont="1" applyFill="1" applyBorder="1" applyAlignment="1" applyProtection="1">
      <alignment horizontal="center"/>
      <protection hidden="1"/>
    </xf>
    <xf numFmtId="0" fontId="22" fillId="34" borderId="23" xfId="0" applyFont="1" applyFill="1" applyBorder="1" applyAlignment="1" applyProtection="1">
      <alignment vertical="center"/>
      <protection/>
    </xf>
    <xf numFmtId="0" fontId="26" fillId="35" borderId="23" xfId="0" applyFont="1" applyFill="1" applyBorder="1" applyAlignment="1">
      <alignment vertical="center"/>
    </xf>
    <xf numFmtId="0" fontId="22" fillId="35" borderId="23" xfId="0" applyFont="1" applyFill="1" applyBorder="1" applyAlignment="1" applyProtection="1">
      <alignment vertical="center"/>
      <protection locked="0"/>
    </xf>
    <xf numFmtId="1" fontId="22" fillId="35" borderId="23" xfId="42" applyNumberFormat="1" applyFont="1" applyFill="1" applyBorder="1" applyAlignment="1" applyProtection="1">
      <alignment vertical="center"/>
      <protection hidden="1"/>
    </xf>
    <xf numFmtId="0" fontId="26" fillId="35" borderId="23" xfId="0" applyFont="1" applyFill="1" applyBorder="1" applyAlignment="1" applyProtection="1">
      <alignment vertical="center"/>
      <protection locked="0"/>
    </xf>
    <xf numFmtId="0" fontId="22" fillId="35" borderId="23" xfId="0" applyFont="1" applyFill="1" applyBorder="1" applyAlignment="1">
      <alignment vertical="center"/>
    </xf>
    <xf numFmtId="0" fontId="0" fillId="34" borderId="23" xfId="0" applyFont="1" applyFill="1" applyBorder="1" applyAlignment="1">
      <alignment/>
    </xf>
    <xf numFmtId="1" fontId="0" fillId="34" borderId="23" xfId="42" applyNumberFormat="1" applyFont="1" applyFill="1" applyBorder="1" applyAlignment="1" applyProtection="1">
      <alignment/>
      <protection hidden="1"/>
    </xf>
    <xf numFmtId="0" fontId="22" fillId="35" borderId="23" xfId="0" applyFont="1" applyFill="1" applyBorder="1" applyAlignment="1" applyProtection="1">
      <alignment vertical="center"/>
      <protection hidden="1"/>
    </xf>
    <xf numFmtId="0" fontId="22" fillId="35" borderId="23" xfId="0" applyFont="1" applyFill="1" applyBorder="1" applyAlignment="1" applyProtection="1">
      <alignment horizontal="center" vertical="center"/>
      <protection locked="0"/>
    </xf>
    <xf numFmtId="1" fontId="22" fillId="35" borderId="23" xfId="0" applyNumberFormat="1" applyFont="1" applyFill="1" applyBorder="1" applyAlignment="1" applyProtection="1">
      <alignment vertical="center"/>
      <protection hidden="1"/>
    </xf>
    <xf numFmtId="180" fontId="26" fillId="34" borderId="23" xfId="42" applyNumberFormat="1" applyFont="1" applyFill="1" applyBorder="1" applyAlignment="1" applyProtection="1">
      <alignment horizontal="right" vertical="center"/>
      <protection hidden="1"/>
    </xf>
    <xf numFmtId="0" fontId="26" fillId="34" borderId="23" xfId="0" applyFont="1" applyFill="1" applyBorder="1" applyAlignment="1" applyProtection="1">
      <alignment horizontal="center" vertical="center"/>
      <protection hidden="1"/>
    </xf>
    <xf numFmtId="1" fontId="22" fillId="34" borderId="23" xfId="0" applyNumberFormat="1" applyFont="1" applyFill="1" applyBorder="1" applyAlignment="1" applyProtection="1">
      <alignment horizontal="right" vertical="center"/>
      <protection hidden="1"/>
    </xf>
    <xf numFmtId="1" fontId="26" fillId="34" borderId="23" xfId="42" applyNumberFormat="1" applyFont="1" applyFill="1" applyBorder="1" applyAlignment="1" applyProtection="1">
      <alignment vertical="center"/>
      <protection hidden="1"/>
    </xf>
    <xf numFmtId="1" fontId="22" fillId="34" borderId="23" xfId="0" applyNumberFormat="1" applyFont="1" applyFill="1" applyBorder="1" applyAlignment="1" applyProtection="1">
      <alignment vertical="center"/>
      <protection hidden="1"/>
    </xf>
    <xf numFmtId="1" fontId="26" fillId="35" borderId="23" xfId="0" applyNumberFormat="1" applyFont="1" applyFill="1" applyBorder="1" applyAlignment="1" applyProtection="1">
      <alignment vertical="center"/>
      <protection hidden="1"/>
    </xf>
    <xf numFmtId="1" fontId="26" fillId="35" borderId="23" xfId="42" applyNumberFormat="1" applyFont="1" applyFill="1" applyBorder="1" applyAlignment="1" applyProtection="1">
      <alignment vertical="center"/>
      <protection hidden="1"/>
    </xf>
    <xf numFmtId="0" fontId="48" fillId="34" borderId="0" xfId="0" applyFont="1" applyFill="1" applyBorder="1" applyAlignment="1">
      <alignment vertical="center"/>
    </xf>
    <xf numFmtId="0" fontId="48" fillId="34" borderId="0" xfId="0" applyFont="1" applyFill="1" applyBorder="1" applyAlignment="1">
      <alignment horizontal="center" vertical="center"/>
    </xf>
    <xf numFmtId="1" fontId="36" fillId="34" borderId="0" xfId="0" applyNumberFormat="1" applyFont="1" applyFill="1" applyBorder="1" applyAlignment="1">
      <alignment horizontal="center" vertical="center"/>
    </xf>
    <xf numFmtId="0" fontId="48" fillId="34" borderId="0" xfId="0" applyFont="1" applyFill="1" applyAlignment="1">
      <alignment vertical="center"/>
    </xf>
    <xf numFmtId="0" fontId="36" fillId="34" borderId="0" xfId="0" applyFont="1" applyFill="1" applyBorder="1" applyAlignment="1">
      <alignment horizontal="center" vertical="center"/>
    </xf>
    <xf numFmtId="0" fontId="48" fillId="34" borderId="0" xfId="0" applyFont="1" applyFill="1" applyBorder="1" applyAlignment="1" applyProtection="1">
      <alignment vertical="center"/>
      <protection hidden="1"/>
    </xf>
    <xf numFmtId="180" fontId="48" fillId="34" borderId="0" xfId="42" applyNumberFormat="1" applyFont="1" applyFill="1" applyBorder="1" applyAlignment="1" applyProtection="1">
      <alignment horizontal="center" vertical="center"/>
      <protection hidden="1"/>
    </xf>
    <xf numFmtId="180" fontId="48" fillId="34" borderId="0" xfId="42" applyNumberFormat="1" applyFont="1" applyFill="1" applyBorder="1" applyAlignment="1" applyProtection="1">
      <alignment vertical="center"/>
      <protection hidden="1"/>
    </xf>
    <xf numFmtId="0" fontId="46" fillId="34" borderId="0" xfId="0" applyFont="1" applyFill="1" applyBorder="1" applyAlignment="1">
      <alignment vertical="center"/>
    </xf>
    <xf numFmtId="0" fontId="46" fillId="34" borderId="0" xfId="0" applyFont="1" applyFill="1" applyBorder="1" applyAlignment="1">
      <alignment horizontal="center" vertical="center"/>
    </xf>
    <xf numFmtId="185" fontId="48" fillId="34" borderId="0" xfId="63" applyNumberFormat="1" applyFont="1" applyFill="1" applyBorder="1" applyAlignment="1" applyProtection="1">
      <alignment vertical="center"/>
      <protection/>
    </xf>
    <xf numFmtId="180" fontId="48" fillId="34" borderId="0" xfId="0" applyNumberFormat="1" applyFont="1" applyFill="1" applyBorder="1" applyAlignment="1">
      <alignment vertical="center"/>
    </xf>
    <xf numFmtId="180" fontId="36" fillId="34" borderId="23" xfId="0" applyNumberFormat="1" applyFont="1" applyFill="1" applyBorder="1" applyAlignment="1">
      <alignment/>
    </xf>
    <xf numFmtId="0" fontId="36" fillId="35" borderId="23" xfId="0" applyFont="1" applyFill="1" applyBorder="1" applyAlignment="1">
      <alignment/>
    </xf>
    <xf numFmtId="0" fontId="36" fillId="35" borderId="23" xfId="0" applyFont="1" applyFill="1" applyBorder="1" applyAlignment="1" applyProtection="1">
      <alignment/>
      <protection locked="0"/>
    </xf>
    <xf numFmtId="1" fontId="36" fillId="35" borderId="23" xfId="42" applyNumberFormat="1" applyFont="1" applyFill="1" applyBorder="1" applyAlignment="1" applyProtection="1">
      <alignment/>
      <protection hidden="1"/>
    </xf>
    <xf numFmtId="0" fontId="38" fillId="35" borderId="23" xfId="0" applyFont="1" applyFill="1" applyBorder="1" applyAlignment="1">
      <alignment/>
    </xf>
    <xf numFmtId="0" fontId="38" fillId="35" borderId="23" xfId="0" applyFont="1" applyFill="1" applyBorder="1" applyAlignment="1" applyProtection="1">
      <alignment/>
      <protection locked="0"/>
    </xf>
    <xf numFmtId="0" fontId="36" fillId="34" borderId="23" xfId="0" applyFont="1" applyFill="1" applyBorder="1" applyAlignment="1">
      <alignment vertical="center"/>
    </xf>
    <xf numFmtId="9" fontId="36" fillId="34" borderId="23" xfId="0" applyNumberFormat="1" applyFont="1" applyFill="1" applyBorder="1" applyAlignment="1" applyProtection="1">
      <alignment horizontal="center" vertical="center"/>
      <protection locked="0"/>
    </xf>
    <xf numFmtId="1" fontId="36" fillId="34" borderId="23" xfId="42" applyNumberFormat="1" applyFont="1" applyFill="1" applyBorder="1" applyAlignment="1" applyProtection="1">
      <alignment vertical="center"/>
      <protection hidden="1"/>
    </xf>
    <xf numFmtId="1" fontId="0" fillId="34" borderId="23" xfId="42" applyNumberFormat="1" applyFont="1" applyFill="1" applyBorder="1" applyAlignment="1" applyProtection="1">
      <alignment/>
      <protection hidden="1"/>
    </xf>
    <xf numFmtId="1" fontId="36" fillId="34" borderId="23" xfId="42" applyNumberFormat="1" applyFont="1" applyFill="1" applyBorder="1" applyAlignment="1" applyProtection="1">
      <alignment horizontal="right"/>
      <protection hidden="1"/>
    </xf>
    <xf numFmtId="1" fontId="36" fillId="34" borderId="23" xfId="0" applyNumberFormat="1" applyFont="1" applyFill="1" applyBorder="1" applyAlignment="1" applyProtection="1">
      <alignment/>
      <protection locked="0"/>
    </xf>
    <xf numFmtId="1" fontId="36" fillId="34" borderId="23" xfId="0" applyNumberFormat="1" applyFont="1" applyFill="1" applyBorder="1" applyAlignment="1">
      <alignment/>
    </xf>
    <xf numFmtId="181" fontId="36" fillId="34" borderId="23" xfId="42" applyNumberFormat="1" applyFont="1" applyFill="1" applyBorder="1" applyAlignment="1" applyProtection="1">
      <alignment/>
      <protection locked="0"/>
    </xf>
    <xf numFmtId="1" fontId="36" fillId="34" borderId="23" xfId="63" applyNumberFormat="1" applyFont="1" applyFill="1" applyBorder="1" applyAlignment="1" applyProtection="1">
      <alignment/>
      <protection locked="0"/>
    </xf>
    <xf numFmtId="1" fontId="36" fillId="35" borderId="23" xfId="0" applyNumberFormat="1" applyFont="1" applyFill="1" applyBorder="1" applyAlignment="1" applyProtection="1">
      <alignment/>
      <protection hidden="1"/>
    </xf>
    <xf numFmtId="180" fontId="33" fillId="34" borderId="23" xfId="42" applyNumberFormat="1" applyFont="1" applyFill="1" applyBorder="1" applyAlignment="1" applyProtection="1">
      <alignment horizontal="right"/>
      <protection hidden="1"/>
    </xf>
    <xf numFmtId="0" fontId="33" fillId="34" borderId="23" xfId="0" applyFont="1" applyFill="1" applyBorder="1" applyAlignment="1" applyProtection="1">
      <alignment horizontal="center"/>
      <protection hidden="1"/>
    </xf>
    <xf numFmtId="0" fontId="33" fillId="34" borderId="23" xfId="0" applyFont="1" applyFill="1" applyBorder="1" applyAlignment="1">
      <alignment horizontal="center" vertical="center"/>
    </xf>
    <xf numFmtId="1" fontId="15" fillId="34" borderId="23" xfId="0" applyNumberFormat="1" applyFont="1" applyFill="1" applyBorder="1" applyAlignment="1" applyProtection="1">
      <alignment horizontal="right"/>
      <protection hidden="1"/>
    </xf>
    <xf numFmtId="1" fontId="15" fillId="34" borderId="23" xfId="42" applyNumberFormat="1" applyFont="1" applyFill="1" applyBorder="1" applyAlignment="1" applyProtection="1">
      <alignment/>
      <protection hidden="1"/>
    </xf>
    <xf numFmtId="1" fontId="33" fillId="34" borderId="23" xfId="42" applyNumberFormat="1" applyFont="1" applyFill="1" applyBorder="1" applyAlignment="1" applyProtection="1">
      <alignment/>
      <protection hidden="1"/>
    </xf>
    <xf numFmtId="1" fontId="15" fillId="34" borderId="23" xfId="0" applyNumberFormat="1" applyFont="1" applyFill="1" applyBorder="1" applyAlignment="1" applyProtection="1">
      <alignment/>
      <protection hidden="1"/>
    </xf>
    <xf numFmtId="1" fontId="33" fillId="36" borderId="23" xfId="0" applyNumberFormat="1" applyFont="1" applyFill="1" applyBorder="1" applyAlignment="1" applyProtection="1">
      <alignment/>
      <protection hidden="1"/>
    </xf>
    <xf numFmtId="1" fontId="33" fillId="36" borderId="23" xfId="42" applyNumberFormat="1" applyFont="1" applyFill="1" applyBorder="1" applyAlignment="1" applyProtection="1">
      <alignment/>
      <protection hidden="1"/>
    </xf>
    <xf numFmtId="1" fontId="15" fillId="34" borderId="23" xfId="42" applyNumberFormat="1" applyFont="1" applyFill="1" applyBorder="1" applyAlignment="1" applyProtection="1">
      <alignment/>
      <protection locked="0"/>
    </xf>
    <xf numFmtId="0" fontId="15" fillId="34" borderId="23" xfId="0" applyFont="1" applyFill="1" applyBorder="1" applyAlignment="1">
      <alignment/>
    </xf>
    <xf numFmtId="0" fontId="15" fillId="34" borderId="23" xfId="42" applyNumberFormat="1" applyFont="1" applyFill="1" applyBorder="1" applyAlignment="1" applyProtection="1">
      <alignment horizontal="center"/>
      <protection locked="0"/>
    </xf>
    <xf numFmtId="0" fontId="15" fillId="34" borderId="23" xfId="0" applyFont="1" applyFill="1" applyBorder="1" applyAlignment="1" applyProtection="1">
      <alignment horizontal="center"/>
      <protection locked="0"/>
    </xf>
    <xf numFmtId="0" fontId="45" fillId="34" borderId="23" xfId="0" applyFont="1" applyFill="1" applyBorder="1" applyAlignment="1">
      <alignment/>
    </xf>
    <xf numFmtId="0" fontId="15" fillId="34" borderId="23" xfId="0" applyFont="1" applyFill="1" applyBorder="1" applyAlignment="1">
      <alignment/>
    </xf>
    <xf numFmtId="0" fontId="15" fillId="34" borderId="23" xfId="0" applyFont="1" applyFill="1" applyBorder="1" applyAlignment="1" applyProtection="1">
      <alignment/>
      <protection/>
    </xf>
    <xf numFmtId="0" fontId="15" fillId="34" borderId="23" xfId="0" applyFont="1" applyFill="1" applyBorder="1" applyAlignment="1" applyProtection="1">
      <alignment/>
      <protection locked="0"/>
    </xf>
    <xf numFmtId="0" fontId="33" fillId="36" borderId="23" xfId="0" applyFont="1" applyFill="1" applyBorder="1" applyAlignment="1">
      <alignment/>
    </xf>
    <xf numFmtId="0" fontId="33" fillId="36" borderId="23" xfId="0" applyFont="1" applyFill="1" applyBorder="1" applyAlignment="1" applyProtection="1">
      <alignment/>
      <protection locked="0"/>
    </xf>
    <xf numFmtId="0" fontId="15" fillId="34" borderId="23" xfId="0" applyFont="1" applyFill="1" applyBorder="1" applyAlignment="1" applyProtection="1">
      <alignment horizontal="center" vertical="center"/>
      <protection locked="0"/>
    </xf>
    <xf numFmtId="0" fontId="15" fillId="34" borderId="23" xfId="0" applyFont="1" applyFill="1" applyBorder="1" applyAlignment="1" applyProtection="1">
      <alignment/>
      <protection hidden="1"/>
    </xf>
    <xf numFmtId="0" fontId="15" fillId="36" borderId="23" xfId="0" applyFont="1" applyFill="1" applyBorder="1" applyAlignment="1">
      <alignment/>
    </xf>
    <xf numFmtId="0" fontId="15" fillId="36" borderId="23" xfId="0" applyFont="1" applyFill="1" applyBorder="1" applyAlignment="1" applyProtection="1">
      <alignment/>
      <protection locked="0"/>
    </xf>
    <xf numFmtId="1" fontId="15" fillId="36" borderId="23" xfId="42" applyNumberFormat="1" applyFont="1" applyFill="1" applyBorder="1" applyAlignment="1" applyProtection="1">
      <alignment/>
      <protection hidden="1"/>
    </xf>
    <xf numFmtId="0" fontId="47" fillId="36" borderId="23" xfId="0" applyFont="1" applyFill="1" applyBorder="1" applyAlignment="1">
      <alignment/>
    </xf>
    <xf numFmtId="0" fontId="47" fillId="36" borderId="23" xfId="0" applyFont="1" applyFill="1" applyBorder="1" applyAlignment="1" applyProtection="1">
      <alignment/>
      <protection locked="0"/>
    </xf>
    <xf numFmtId="1" fontId="47" fillId="36" borderId="23" xfId="42" applyNumberFormat="1" applyFont="1" applyFill="1" applyBorder="1" applyAlignment="1" applyProtection="1">
      <alignment/>
      <protection hidden="1"/>
    </xf>
    <xf numFmtId="0" fontId="33" fillId="35" borderId="23" xfId="0" applyFont="1" applyFill="1" applyBorder="1" applyAlignment="1">
      <alignment/>
    </xf>
    <xf numFmtId="0" fontId="15" fillId="35" borderId="23" xfId="0" applyFont="1" applyFill="1" applyBorder="1" applyAlignment="1" applyProtection="1">
      <alignment/>
      <protection locked="0"/>
    </xf>
    <xf numFmtId="1" fontId="15" fillId="35" borderId="23" xfId="42" applyNumberFormat="1" applyFont="1" applyFill="1" applyBorder="1" applyAlignment="1" applyProtection="1">
      <alignment/>
      <protection hidden="1"/>
    </xf>
    <xf numFmtId="0" fontId="15" fillId="35" borderId="23" xfId="0" applyFont="1" applyFill="1" applyBorder="1" applyAlignment="1">
      <alignment/>
    </xf>
    <xf numFmtId="9" fontId="15" fillId="34" borderId="23" xfId="63" applyNumberFormat="1" applyFont="1" applyFill="1" applyBorder="1" applyAlignment="1" applyProtection="1">
      <alignment/>
      <protection locked="0"/>
    </xf>
    <xf numFmtId="0" fontId="33" fillId="34" borderId="23" xfId="0" applyFont="1" applyFill="1" applyBorder="1" applyAlignment="1">
      <alignment/>
    </xf>
    <xf numFmtId="9" fontId="15" fillId="34" borderId="23" xfId="0" applyNumberFormat="1" applyFont="1" applyFill="1" applyBorder="1" applyAlignment="1" applyProtection="1">
      <alignment vertical="center"/>
      <protection locked="0"/>
    </xf>
    <xf numFmtId="1" fontId="36" fillId="34" borderId="23" xfId="42" applyNumberFormat="1" applyFont="1" applyFill="1" applyBorder="1" applyAlignment="1" applyProtection="1">
      <alignment vertical="center"/>
      <protection locked="0"/>
    </xf>
    <xf numFmtId="0" fontId="36" fillId="34" borderId="23" xfId="42" applyNumberFormat="1" applyFont="1" applyFill="1" applyBorder="1" applyAlignment="1" applyProtection="1">
      <alignment horizontal="center" vertical="center"/>
      <protection locked="0"/>
    </xf>
    <xf numFmtId="0" fontId="36" fillId="34" borderId="23" xfId="0" applyFont="1" applyFill="1" applyBorder="1" applyAlignment="1" applyProtection="1">
      <alignment horizontal="center" vertical="center"/>
      <protection locked="0"/>
    </xf>
    <xf numFmtId="0" fontId="41" fillId="34" borderId="23" xfId="0" applyFont="1" applyFill="1" applyBorder="1" applyAlignment="1">
      <alignment vertical="center"/>
    </xf>
    <xf numFmtId="0" fontId="36" fillId="34" borderId="23" xfId="0" applyFont="1" applyFill="1" applyBorder="1" applyAlignment="1" applyProtection="1">
      <alignment vertical="center"/>
      <protection locked="0"/>
    </xf>
    <xf numFmtId="1" fontId="36" fillId="36" borderId="23" xfId="42" applyNumberFormat="1" applyFont="1" applyFill="1" applyBorder="1" applyAlignment="1" applyProtection="1">
      <alignment vertical="center"/>
      <protection hidden="1"/>
    </xf>
    <xf numFmtId="0" fontId="36" fillId="34" borderId="23" xfId="0" applyFont="1" applyFill="1" applyBorder="1" applyAlignment="1" applyProtection="1">
      <alignment vertical="center"/>
      <protection hidden="1"/>
    </xf>
    <xf numFmtId="0" fontId="36" fillId="36" borderId="23" xfId="0" applyFont="1" applyFill="1" applyBorder="1" applyAlignment="1">
      <alignment vertical="center"/>
    </xf>
    <xf numFmtId="0" fontId="36" fillId="36" borderId="23" xfId="0" applyFont="1" applyFill="1" applyBorder="1" applyAlignment="1" applyProtection="1">
      <alignment vertical="center"/>
      <protection locked="0"/>
    </xf>
    <xf numFmtId="0" fontId="38" fillId="34" borderId="23" xfId="0" applyFont="1" applyFill="1" applyBorder="1" applyAlignment="1">
      <alignment vertical="center"/>
    </xf>
    <xf numFmtId="1" fontId="38" fillId="36" borderId="23" xfId="0" applyNumberFormat="1" applyFont="1" applyFill="1" applyBorder="1" applyAlignment="1" applyProtection="1">
      <alignment vertical="center"/>
      <protection hidden="1"/>
    </xf>
    <xf numFmtId="1" fontId="38" fillId="36" borderId="23" xfId="42" applyNumberFormat="1" applyFont="1" applyFill="1" applyBorder="1" applyAlignment="1" applyProtection="1">
      <alignment vertical="center"/>
      <protection hidden="1"/>
    </xf>
    <xf numFmtId="1" fontId="38" fillId="34" borderId="23" xfId="42" applyNumberFormat="1" applyFont="1" applyFill="1" applyBorder="1" applyAlignment="1" applyProtection="1">
      <alignment horizontal="center" vertical="center"/>
      <protection hidden="1"/>
    </xf>
    <xf numFmtId="1" fontId="38" fillId="34" borderId="23" xfId="0" applyNumberFormat="1" applyFont="1" applyFill="1" applyBorder="1" applyAlignment="1" applyProtection="1">
      <alignment horizontal="center" vertical="center"/>
      <protection hidden="1"/>
    </xf>
    <xf numFmtId="1" fontId="38" fillId="34" borderId="23" xfId="0" applyNumberFormat="1" applyFont="1" applyFill="1" applyBorder="1" applyAlignment="1">
      <alignment horizontal="center" vertical="center"/>
    </xf>
    <xf numFmtId="1" fontId="36" fillId="34" borderId="23" xfId="0" applyNumberFormat="1" applyFont="1" applyFill="1" applyBorder="1" applyAlignment="1" applyProtection="1">
      <alignment horizontal="right" vertical="center"/>
      <protection hidden="1"/>
    </xf>
    <xf numFmtId="1" fontId="38" fillId="34" borderId="23" xfId="42" applyNumberFormat="1" applyFont="1" applyFill="1" applyBorder="1" applyAlignment="1" applyProtection="1">
      <alignment vertical="center"/>
      <protection hidden="1"/>
    </xf>
    <xf numFmtId="1" fontId="36" fillId="34" borderId="23" xfId="0" applyNumberFormat="1" applyFont="1" applyFill="1" applyBorder="1" applyAlignment="1" applyProtection="1">
      <alignment vertical="center"/>
      <protection hidden="1"/>
    </xf>
    <xf numFmtId="1" fontId="38" fillId="35" borderId="23" xfId="0" applyNumberFormat="1" applyFont="1" applyFill="1" applyBorder="1" applyAlignment="1" applyProtection="1">
      <alignment vertical="center"/>
      <protection hidden="1"/>
    </xf>
    <xf numFmtId="1" fontId="38" fillId="35" borderId="23" xfId="42" applyNumberFormat="1" applyFont="1" applyFill="1" applyBorder="1" applyAlignment="1" applyProtection="1">
      <alignment vertical="center"/>
      <protection hidden="1"/>
    </xf>
    <xf numFmtId="0" fontId="22" fillId="34" borderId="0" xfId="0" applyFont="1" applyFill="1" applyBorder="1" applyAlignment="1" applyProtection="1">
      <alignment horizontal="center"/>
      <protection locked="0"/>
    </xf>
    <xf numFmtId="1" fontId="22" fillId="34" borderId="0" xfId="0" applyNumberFormat="1" applyFont="1" applyFill="1" applyAlignment="1">
      <alignment horizontal="center"/>
    </xf>
    <xf numFmtId="0" fontId="22" fillId="34" borderId="0" xfId="42" applyNumberFormat="1" applyFont="1" applyFill="1" applyBorder="1" applyAlignment="1" applyProtection="1">
      <alignment horizontal="center"/>
      <protection locked="0"/>
    </xf>
    <xf numFmtId="180" fontId="22" fillId="34" borderId="0" xfId="42" applyNumberFormat="1" applyFont="1" applyFill="1" applyBorder="1" applyAlignment="1" applyProtection="1">
      <alignment/>
      <protection/>
    </xf>
    <xf numFmtId="0" fontId="22" fillId="37" borderId="0" xfId="0" applyFont="1" applyFill="1" applyAlignment="1">
      <alignment/>
    </xf>
    <xf numFmtId="1" fontId="22" fillId="37" borderId="0" xfId="0" applyNumberFormat="1" applyFont="1" applyFill="1" applyAlignment="1">
      <alignment/>
    </xf>
    <xf numFmtId="9" fontId="22" fillId="34" borderId="0" xfId="0" applyNumberFormat="1" applyFont="1" applyFill="1" applyBorder="1" applyAlignment="1">
      <alignment horizontal="center"/>
    </xf>
    <xf numFmtId="182" fontId="22" fillId="34" borderId="0" xfId="42" applyNumberFormat="1" applyFont="1" applyFill="1" applyBorder="1" applyAlignment="1" applyProtection="1">
      <alignment/>
      <protection/>
    </xf>
    <xf numFmtId="1" fontId="26" fillId="34" borderId="0" xfId="42" applyNumberFormat="1" applyFont="1" applyFill="1" applyBorder="1" applyAlignment="1" applyProtection="1">
      <alignment/>
      <protection hidden="1"/>
    </xf>
    <xf numFmtId="1" fontId="22" fillId="34" borderId="0" xfId="0" applyNumberFormat="1" applyFont="1" applyFill="1" applyBorder="1" applyAlignment="1" applyProtection="1">
      <alignment horizontal="right"/>
      <protection hidden="1"/>
    </xf>
    <xf numFmtId="0" fontId="22" fillId="34" borderId="0" xfId="0" applyFont="1" applyFill="1" applyBorder="1" applyAlignment="1">
      <alignment wrapText="1"/>
    </xf>
    <xf numFmtId="180" fontId="22" fillId="34" borderId="23" xfId="42" applyNumberFormat="1" applyFont="1" applyFill="1" applyBorder="1" applyAlignment="1" applyProtection="1">
      <alignment/>
      <protection/>
    </xf>
    <xf numFmtId="0" fontId="22" fillId="34" borderId="23" xfId="0" applyFont="1" applyFill="1" applyBorder="1" applyAlignment="1">
      <alignment horizontal="center"/>
    </xf>
    <xf numFmtId="0" fontId="22" fillId="34" borderId="23" xfId="0" applyFont="1" applyFill="1" applyBorder="1" applyAlignment="1" applyProtection="1">
      <alignment/>
      <protection/>
    </xf>
    <xf numFmtId="0" fontId="22" fillId="36" borderId="23" xfId="0" applyFont="1" applyFill="1" applyBorder="1" applyAlignment="1" applyProtection="1">
      <alignment horizontal="center"/>
      <protection locked="0"/>
    </xf>
    <xf numFmtId="0" fontId="26" fillId="36" borderId="23" xfId="0" applyFont="1" applyFill="1" applyBorder="1" applyAlignment="1" applyProtection="1">
      <alignment/>
      <protection locked="0"/>
    </xf>
    <xf numFmtId="10" fontId="22" fillId="34" borderId="23" xfId="0" applyNumberFormat="1" applyFont="1" applyFill="1" applyBorder="1" applyAlignment="1" applyProtection="1">
      <alignment horizontal="center"/>
      <protection locked="0"/>
    </xf>
    <xf numFmtId="1" fontId="22" fillId="34" borderId="23" xfId="0" applyNumberFormat="1" applyFont="1" applyFill="1" applyBorder="1" applyAlignment="1" applyProtection="1">
      <alignment/>
      <protection locked="0"/>
    </xf>
    <xf numFmtId="181" fontId="52" fillId="34" borderId="23" xfId="42" applyNumberFormat="1" applyFont="1" applyFill="1" applyBorder="1" applyAlignment="1" applyProtection="1">
      <alignment/>
      <protection locked="0"/>
    </xf>
    <xf numFmtId="1" fontId="22" fillId="34" borderId="23" xfId="63" applyNumberFormat="1" applyFont="1" applyFill="1" applyBorder="1" applyAlignment="1" applyProtection="1">
      <alignment horizontal="center"/>
      <protection locked="0"/>
    </xf>
    <xf numFmtId="0" fontId="26" fillId="34" borderId="23" xfId="0" applyFont="1" applyFill="1" applyBorder="1" applyAlignment="1">
      <alignment/>
    </xf>
    <xf numFmtId="9" fontId="22" fillId="34" borderId="23" xfId="63" applyNumberFormat="1" applyFont="1" applyFill="1" applyBorder="1" applyAlignment="1" applyProtection="1">
      <alignment horizontal="center"/>
      <protection locked="0"/>
    </xf>
    <xf numFmtId="180" fontId="26" fillId="34" borderId="23" xfId="42" applyNumberFormat="1" applyFont="1" applyFill="1" applyBorder="1" applyAlignment="1" applyProtection="1">
      <alignment horizontal="right"/>
      <protection hidden="1"/>
    </xf>
    <xf numFmtId="1" fontId="29" fillId="36" borderId="23" xfId="0" applyNumberFormat="1" applyFont="1" applyFill="1" applyBorder="1" applyAlignment="1" applyProtection="1">
      <alignment horizontal="right"/>
      <protection hidden="1"/>
    </xf>
    <xf numFmtId="1" fontId="29" fillId="36" borderId="23" xfId="0" applyNumberFormat="1" applyFont="1" applyFill="1" applyBorder="1" applyAlignment="1" applyProtection="1">
      <alignment/>
      <protection hidden="1"/>
    </xf>
    <xf numFmtId="1" fontId="29" fillId="36" borderId="23" xfId="42" applyNumberFormat="1" applyFont="1" applyFill="1" applyBorder="1" applyAlignment="1" applyProtection="1">
      <alignment/>
      <protection hidden="1"/>
    </xf>
    <xf numFmtId="0" fontId="22" fillId="34" borderId="23" xfId="42" applyNumberFormat="1" applyFont="1" applyFill="1" applyBorder="1" applyAlignment="1" applyProtection="1">
      <alignment/>
      <protection locked="0"/>
    </xf>
    <xf numFmtId="1" fontId="22" fillId="38" borderId="23" xfId="42" applyNumberFormat="1" applyFont="1" applyFill="1" applyBorder="1" applyAlignment="1" applyProtection="1">
      <alignment/>
      <protection locked="0"/>
    </xf>
    <xf numFmtId="0" fontId="26" fillId="36" borderId="23" xfId="0" applyFont="1" applyFill="1" applyBorder="1" applyAlignment="1" applyProtection="1">
      <alignment horizontal="center"/>
      <protection locked="0"/>
    </xf>
    <xf numFmtId="1" fontId="22" fillId="34" borderId="23" xfId="0" applyNumberFormat="1" applyFont="1" applyFill="1" applyBorder="1" applyAlignment="1" applyProtection="1">
      <alignment/>
      <protection locked="0"/>
    </xf>
    <xf numFmtId="181" fontId="32" fillId="34" borderId="23" xfId="42" applyNumberFormat="1" applyFont="1" applyFill="1" applyBorder="1" applyAlignment="1" applyProtection="1">
      <alignment/>
      <protection locked="0"/>
    </xf>
    <xf numFmtId="1" fontId="22" fillId="34" borderId="23" xfId="0" applyNumberFormat="1" applyFont="1" applyFill="1" applyBorder="1" applyAlignment="1" applyProtection="1">
      <alignment horizontal="center"/>
      <protection locked="0"/>
    </xf>
    <xf numFmtId="1" fontId="26" fillId="36" borderId="23" xfId="0" applyNumberFormat="1" applyFont="1" applyFill="1" applyBorder="1" applyAlignment="1" applyProtection="1">
      <alignment/>
      <protection hidden="1"/>
    </xf>
    <xf numFmtId="0" fontId="2" fillId="37" borderId="0" xfId="0" applyFont="1" applyFill="1" applyAlignment="1">
      <alignment/>
    </xf>
    <xf numFmtId="0" fontId="4" fillId="35" borderId="1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4" fillId="37" borderId="10" xfId="0" applyFont="1" applyFill="1" applyBorder="1" applyAlignment="1">
      <alignment/>
    </xf>
    <xf numFmtId="0" fontId="2" fillId="37" borderId="24" xfId="0" applyFont="1" applyFill="1" applyBorder="1" applyAlignment="1">
      <alignment horizontal="center"/>
    </xf>
    <xf numFmtId="0" fontId="7" fillId="35" borderId="25" xfId="54" applyNumberFormat="1" applyFont="1" applyFill="1" applyBorder="1" applyAlignment="1" applyProtection="1">
      <alignment horizontal="center" vertical="center"/>
      <protection/>
    </xf>
    <xf numFmtId="0" fontId="7" fillId="35" borderId="10" xfId="54" applyNumberFormat="1" applyFont="1" applyFill="1" applyBorder="1" applyAlignment="1" applyProtection="1">
      <alignment horizontal="center" vertical="center"/>
      <protection/>
    </xf>
    <xf numFmtId="0" fontId="7" fillId="37" borderId="10" xfId="54" applyNumberFormat="1" applyFont="1" applyFill="1" applyBorder="1" applyAlignment="1" applyProtection="1">
      <alignment horizontal="center" vertical="center"/>
      <protection/>
    </xf>
    <xf numFmtId="0" fontId="10" fillId="37" borderId="0" xfId="0" applyFont="1" applyFill="1" applyAlignment="1">
      <alignment vertical="center"/>
    </xf>
    <xf numFmtId="10" fontId="10" fillId="39" borderId="26" xfId="54" applyNumberFormat="1" applyFont="1" applyFill="1" applyBorder="1" applyAlignment="1" applyProtection="1">
      <alignment vertical="center"/>
      <protection locked="0"/>
    </xf>
    <xf numFmtId="1" fontId="108" fillId="40" borderId="10" xfId="0" applyNumberFormat="1" applyFont="1" applyFill="1" applyBorder="1" applyAlignment="1" applyProtection="1">
      <alignment horizontal="center"/>
      <protection locked="0"/>
    </xf>
    <xf numFmtId="187" fontId="108" fillId="40" borderId="10" xfId="0" applyNumberFormat="1" applyFont="1" applyFill="1" applyBorder="1" applyAlignment="1" applyProtection="1">
      <alignment horizontal="center"/>
      <protection locked="0"/>
    </xf>
    <xf numFmtId="0" fontId="22" fillId="34" borderId="27" xfId="0" applyFont="1" applyFill="1" applyBorder="1" applyAlignment="1">
      <alignment horizontal="center"/>
    </xf>
    <xf numFmtId="0" fontId="22" fillId="34" borderId="27" xfId="0" applyFont="1" applyFill="1" applyBorder="1" applyAlignment="1" applyProtection="1">
      <alignment horizontal="center"/>
      <protection hidden="1"/>
    </xf>
    <xf numFmtId="9" fontId="36" fillId="34" borderId="23" xfId="63" applyNumberFormat="1" applyFont="1" applyFill="1" applyBorder="1" applyAlignment="1" applyProtection="1">
      <alignment horizontal="center" vertical="center"/>
      <protection locked="0"/>
    </xf>
    <xf numFmtId="0" fontId="2" fillId="37" borderId="25" xfId="0" applyFont="1" applyFill="1" applyBorder="1" applyAlignment="1">
      <alignment horizontal="center"/>
    </xf>
    <xf numFmtId="0" fontId="0" fillId="41" borderId="11" xfId="0" applyFill="1" applyBorder="1" applyAlignment="1">
      <alignment/>
    </xf>
    <xf numFmtId="0" fontId="0" fillId="41" borderId="17" xfId="0" applyFill="1" applyBorder="1" applyAlignment="1">
      <alignment/>
    </xf>
    <xf numFmtId="185" fontId="109" fillId="33" borderId="19" xfId="0" applyNumberFormat="1" applyFont="1" applyFill="1" applyBorder="1" applyAlignment="1">
      <alignment/>
    </xf>
    <xf numFmtId="1" fontId="15" fillId="37" borderId="23" xfId="42" applyNumberFormat="1" applyFont="1" applyFill="1" applyBorder="1" applyAlignment="1" applyProtection="1">
      <alignment vertical="center"/>
      <protection hidden="1"/>
    </xf>
    <xf numFmtId="9" fontId="36" fillId="34" borderId="23" xfId="0" applyNumberFormat="1" applyFont="1" applyFill="1" applyBorder="1" applyAlignment="1" applyProtection="1">
      <alignment horizontal="center"/>
      <protection locked="0"/>
    </xf>
    <xf numFmtId="9" fontId="36" fillId="34" borderId="23" xfId="42" applyNumberFormat="1" applyFont="1" applyFill="1" applyBorder="1" applyAlignment="1" applyProtection="1">
      <alignment horizontal="center"/>
      <protection locked="0"/>
    </xf>
    <xf numFmtId="0" fontId="110" fillId="33" borderId="10" xfId="58" applyFont="1" applyFill="1" applyBorder="1" applyAlignment="1" applyProtection="1">
      <alignment horizontal="center" vertical="center"/>
      <protection/>
    </xf>
    <xf numFmtId="0" fontId="111" fillId="33" borderId="10" xfId="59" applyFont="1" applyFill="1" applyBorder="1" applyAlignment="1" applyProtection="1">
      <alignment horizontal="center" vertical="center"/>
      <protection/>
    </xf>
    <xf numFmtId="0" fontId="111" fillId="33" borderId="10" xfId="58" applyFont="1" applyFill="1" applyBorder="1" applyAlignment="1" applyProtection="1">
      <alignment horizontal="center" vertical="center"/>
      <protection/>
    </xf>
    <xf numFmtId="0" fontId="9" fillId="37" borderId="26" xfId="54" applyNumberFormat="1" applyFont="1" applyFill="1" applyBorder="1" applyAlignment="1" applyProtection="1">
      <alignment horizontal="center" vertical="center" wrapText="1"/>
      <protection/>
    </xf>
    <xf numFmtId="9" fontId="0" fillId="34" borderId="23" xfId="0" applyNumberFormat="1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62" fillId="33" borderId="28" xfId="0" applyFont="1" applyFill="1" applyBorder="1" applyAlignment="1">
      <alignment/>
    </xf>
    <xf numFmtId="0" fontId="61" fillId="33" borderId="28" xfId="0" applyFont="1" applyFill="1" applyBorder="1" applyAlignment="1">
      <alignment/>
    </xf>
    <xf numFmtId="0" fontId="61" fillId="33" borderId="0" xfId="0" applyFont="1" applyFill="1" applyAlignment="1">
      <alignment horizontal="right"/>
    </xf>
    <xf numFmtId="0" fontId="61" fillId="33" borderId="28" xfId="0" applyFont="1" applyFill="1" applyBorder="1" applyAlignment="1">
      <alignment horizontal="right"/>
    </xf>
    <xf numFmtId="0" fontId="15" fillId="33" borderId="0" xfId="0" applyFont="1" applyFill="1" applyAlignment="1">
      <alignment horizontal="right"/>
    </xf>
    <xf numFmtId="0" fontId="63" fillId="33" borderId="0" xfId="0" applyFont="1" applyFill="1" applyAlignment="1">
      <alignment/>
    </xf>
    <xf numFmtId="0" fontId="63" fillId="33" borderId="12" xfId="0" applyFont="1" applyFill="1" applyBorder="1" applyAlignment="1">
      <alignment/>
    </xf>
    <xf numFmtId="0" fontId="63" fillId="33" borderId="16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63" fillId="33" borderId="11" xfId="0" applyFont="1" applyFill="1" applyBorder="1" applyAlignment="1">
      <alignment/>
    </xf>
    <xf numFmtId="179" fontId="63" fillId="33" borderId="10" xfId="42" applyNumberFormat="1" applyFont="1" applyFill="1" applyBorder="1" applyAlignment="1" applyProtection="1">
      <alignment/>
      <protection/>
    </xf>
    <xf numFmtId="179" fontId="63" fillId="33" borderId="11" xfId="42" applyNumberFormat="1" applyFont="1" applyFill="1" applyBorder="1" applyAlignment="1" applyProtection="1">
      <alignment/>
      <protection/>
    </xf>
    <xf numFmtId="0" fontId="63" fillId="33" borderId="17" xfId="0" applyFont="1" applyFill="1" applyBorder="1" applyAlignment="1">
      <alignment/>
    </xf>
    <xf numFmtId="9" fontId="63" fillId="33" borderId="10" xfId="0" applyNumberFormat="1" applyFont="1" applyFill="1" applyBorder="1" applyAlignment="1">
      <alignment/>
    </xf>
    <xf numFmtId="10" fontId="63" fillId="33" borderId="10" xfId="0" applyNumberFormat="1" applyFont="1" applyFill="1" applyBorder="1" applyAlignment="1">
      <alignment/>
    </xf>
    <xf numFmtId="0" fontId="21" fillId="33" borderId="28" xfId="0" applyFont="1" applyFill="1" applyBorder="1" applyAlignment="1">
      <alignment/>
    </xf>
    <xf numFmtId="10" fontId="21" fillId="33" borderId="28" xfId="42" applyNumberFormat="1" applyFont="1" applyFill="1" applyBorder="1" applyAlignment="1" applyProtection="1">
      <alignment/>
      <protection/>
    </xf>
    <xf numFmtId="189" fontId="61" fillId="33" borderId="28" xfId="0" applyNumberFormat="1" applyFont="1" applyFill="1" applyBorder="1" applyAlignment="1">
      <alignment horizontal="right"/>
    </xf>
    <xf numFmtId="0" fontId="112" fillId="34" borderId="0" xfId="0" applyFont="1" applyFill="1" applyBorder="1" applyAlignment="1">
      <alignment horizontal="center" vertical="center" wrapText="1"/>
    </xf>
    <xf numFmtId="0" fontId="26" fillId="34" borderId="27" xfId="0" applyFont="1" applyFill="1" applyBorder="1" applyAlignment="1">
      <alignment horizontal="center" vertical="center"/>
    </xf>
    <xf numFmtId="1" fontId="26" fillId="34" borderId="27" xfId="42" applyNumberFormat="1" applyFont="1" applyFill="1" applyBorder="1" applyAlignment="1" applyProtection="1">
      <alignment/>
      <protection hidden="1"/>
    </xf>
    <xf numFmtId="1" fontId="22" fillId="34" borderId="27" xfId="0" applyNumberFormat="1" applyFont="1" applyFill="1" applyBorder="1" applyAlignment="1" applyProtection="1">
      <alignment/>
      <protection hidden="1"/>
    </xf>
    <xf numFmtId="1" fontId="29" fillId="36" borderId="27" xfId="42" applyNumberFormat="1" applyFont="1" applyFill="1" applyBorder="1" applyAlignment="1" applyProtection="1">
      <alignment/>
      <protection hidden="1"/>
    </xf>
    <xf numFmtId="0" fontId="22" fillId="34" borderId="28" xfId="0" applyFont="1" applyFill="1" applyBorder="1" applyAlignment="1">
      <alignment horizontal="center"/>
    </xf>
    <xf numFmtId="180" fontId="26" fillId="34" borderId="28" xfId="42" applyNumberFormat="1" applyFont="1" applyFill="1" applyBorder="1" applyAlignment="1" applyProtection="1">
      <alignment horizontal="right"/>
      <protection hidden="1"/>
    </xf>
    <xf numFmtId="0" fontId="26" fillId="34" borderId="28" xfId="0" applyFont="1" applyFill="1" applyBorder="1" applyAlignment="1" applyProtection="1">
      <alignment horizontal="center"/>
      <protection hidden="1"/>
    </xf>
    <xf numFmtId="1" fontId="22" fillId="34" borderId="28" xfId="0" applyNumberFormat="1" applyFont="1" applyFill="1" applyBorder="1" applyAlignment="1" applyProtection="1">
      <alignment horizontal="right"/>
      <protection hidden="1"/>
    </xf>
    <xf numFmtId="1" fontId="22" fillId="34" borderId="28" xfId="42" applyNumberFormat="1" applyFont="1" applyFill="1" applyBorder="1" applyAlignment="1" applyProtection="1">
      <alignment/>
      <protection hidden="1"/>
    </xf>
    <xf numFmtId="1" fontId="22" fillId="34" borderId="28" xfId="0" applyNumberFormat="1" applyFont="1" applyFill="1" applyBorder="1" applyAlignment="1" applyProtection="1">
      <alignment/>
      <protection hidden="1"/>
    </xf>
    <xf numFmtId="1" fontId="29" fillId="36" borderId="28" xfId="0" applyNumberFormat="1" applyFont="1" applyFill="1" applyBorder="1" applyAlignment="1" applyProtection="1">
      <alignment/>
      <protection hidden="1"/>
    </xf>
    <xf numFmtId="0" fontId="22" fillId="34" borderId="29" xfId="0" applyFont="1" applyFill="1" applyBorder="1" applyAlignment="1">
      <alignment/>
    </xf>
    <xf numFmtId="0" fontId="22" fillId="34" borderId="27" xfId="0" applyFont="1" applyFill="1" applyBorder="1" applyAlignment="1">
      <alignment/>
    </xf>
    <xf numFmtId="0" fontId="61" fillId="41" borderId="28" xfId="0" applyFont="1" applyFill="1" applyBorder="1" applyAlignment="1">
      <alignment horizontal="right"/>
    </xf>
    <xf numFmtId="0" fontId="30" fillId="33" borderId="0" xfId="0" applyFont="1" applyFill="1" applyAlignment="1">
      <alignment horizontal="center"/>
    </xf>
    <xf numFmtId="0" fontId="30" fillId="33" borderId="1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30" fillId="33" borderId="16" xfId="0" applyFont="1" applyFill="1" applyBorder="1" applyAlignment="1">
      <alignment horizontal="center"/>
    </xf>
    <xf numFmtId="0" fontId="30" fillId="33" borderId="11" xfId="0" applyFont="1" applyFill="1" applyBorder="1" applyAlignment="1">
      <alignment horizontal="center"/>
    </xf>
    <xf numFmtId="179" fontId="0" fillId="33" borderId="10" xfId="42" applyNumberFormat="1" applyFont="1" applyFill="1" applyBorder="1" applyAlignment="1" applyProtection="1">
      <alignment/>
      <protection/>
    </xf>
    <xf numFmtId="179" fontId="0" fillId="33" borderId="11" xfId="42" applyNumberFormat="1" applyFont="1" applyFill="1" applyBorder="1" applyAlignment="1" applyProtection="1">
      <alignment/>
      <protection/>
    </xf>
    <xf numFmtId="179" fontId="0" fillId="33" borderId="26" xfId="42" applyNumberFormat="1" applyFont="1" applyFill="1" applyBorder="1" applyAlignment="1" applyProtection="1">
      <alignment/>
      <protection/>
    </xf>
    <xf numFmtId="179" fontId="0" fillId="33" borderId="30" xfId="42" applyNumberFormat="1" applyFont="1" applyFill="1" applyBorder="1" applyAlignment="1" applyProtection="1">
      <alignment/>
      <protection/>
    </xf>
    <xf numFmtId="0" fontId="0" fillId="33" borderId="31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30" fillId="42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9" fontId="0" fillId="33" borderId="10" xfId="0" applyNumberFormat="1" applyFont="1" applyFill="1" applyBorder="1" applyAlignment="1">
      <alignment/>
    </xf>
    <xf numFmtId="10" fontId="0" fillId="33" borderId="10" xfId="0" applyNumberFormat="1" applyFont="1" applyFill="1" applyBorder="1" applyAlignment="1">
      <alignment/>
    </xf>
    <xf numFmtId="0" fontId="0" fillId="33" borderId="33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62" fillId="33" borderId="0" xfId="0" applyFont="1" applyFill="1" applyAlignment="1">
      <alignment/>
    </xf>
    <xf numFmtId="0" fontId="61" fillId="33" borderId="28" xfId="0" applyFont="1" applyFill="1" applyBorder="1" applyAlignment="1">
      <alignment horizontal="center"/>
    </xf>
    <xf numFmtId="0" fontId="64" fillId="42" borderId="10" xfId="0" applyFont="1" applyFill="1" applyBorder="1" applyAlignment="1">
      <alignment/>
    </xf>
    <xf numFmtId="0" fontId="63" fillId="33" borderId="35" xfId="0" applyFont="1" applyFill="1" applyBorder="1" applyAlignment="1">
      <alignment/>
    </xf>
    <xf numFmtId="181" fontId="49" fillId="42" borderId="11" xfId="42" applyNumberFormat="1" applyFont="1" applyFill="1" applyBorder="1" applyAlignment="1" applyProtection="1">
      <alignment/>
      <protection/>
    </xf>
    <xf numFmtId="181" fontId="49" fillId="42" borderId="19" xfId="42" applyNumberFormat="1" applyFont="1" applyFill="1" applyBorder="1" applyAlignment="1" applyProtection="1">
      <alignment/>
      <protection/>
    </xf>
    <xf numFmtId="0" fontId="0" fillId="33" borderId="0" xfId="0" applyFill="1" applyAlignment="1">
      <alignment horizontal="center"/>
    </xf>
    <xf numFmtId="0" fontId="65" fillId="42" borderId="10" xfId="0" applyFont="1" applyFill="1" applyBorder="1" applyAlignment="1">
      <alignment/>
    </xf>
    <xf numFmtId="0" fontId="21" fillId="33" borderId="0" xfId="0" applyFont="1" applyFill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/>
    </xf>
    <xf numFmtId="0" fontId="30" fillId="33" borderId="12" xfId="0" applyFont="1" applyFill="1" applyBorder="1" applyAlignment="1">
      <alignment horizontal="center"/>
    </xf>
    <xf numFmtId="0" fontId="0" fillId="33" borderId="16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178" fontId="0" fillId="43" borderId="19" xfId="42" applyFont="1" applyFill="1" applyBorder="1" applyAlignment="1" applyProtection="1">
      <alignment/>
      <protection/>
    </xf>
    <xf numFmtId="178" fontId="0" fillId="42" borderId="19" xfId="42" applyFont="1" applyFill="1" applyBorder="1" applyAlignment="1" applyProtection="1">
      <alignment/>
      <protection/>
    </xf>
    <xf numFmtId="181" fontId="0" fillId="33" borderId="11" xfId="42" applyNumberFormat="1" applyFont="1" applyFill="1" applyBorder="1" applyAlignment="1" applyProtection="1">
      <alignment/>
      <protection/>
    </xf>
    <xf numFmtId="181" fontId="0" fillId="42" borderId="19" xfId="42" applyNumberFormat="1" applyFont="1" applyFill="1" applyBorder="1" applyAlignment="1" applyProtection="1">
      <alignment/>
      <protection/>
    </xf>
    <xf numFmtId="180" fontId="22" fillId="34" borderId="23" xfId="42" applyNumberFormat="1" applyFont="1" applyFill="1" applyBorder="1" applyAlignment="1" applyProtection="1">
      <alignment horizontal="center"/>
      <protection locked="0"/>
    </xf>
    <xf numFmtId="0" fontId="24" fillId="44" borderId="23" xfId="0" applyFont="1" applyFill="1" applyBorder="1" applyAlignment="1">
      <alignment horizontal="center"/>
    </xf>
    <xf numFmtId="0" fontId="24" fillId="34" borderId="23" xfId="0" applyFont="1" applyFill="1" applyBorder="1" applyAlignment="1">
      <alignment horizontal="center"/>
    </xf>
    <xf numFmtId="0" fontId="24" fillId="34" borderId="23" xfId="0" applyFont="1" applyFill="1" applyBorder="1" applyAlignment="1">
      <alignment horizontal="center" vertical="center"/>
    </xf>
    <xf numFmtId="0" fontId="39" fillId="34" borderId="23" xfId="0" applyFont="1" applyFill="1" applyBorder="1" applyAlignment="1">
      <alignment horizontal="center" vertical="center"/>
    </xf>
    <xf numFmtId="0" fontId="60" fillId="34" borderId="23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/>
    </xf>
    <xf numFmtId="1" fontId="48" fillId="34" borderId="23" xfId="42" applyNumberFormat="1" applyFont="1" applyFill="1" applyBorder="1" applyAlignment="1" applyProtection="1">
      <alignment vertical="center"/>
      <protection locked="0"/>
    </xf>
    <xf numFmtId="0" fontId="48" fillId="34" borderId="23" xfId="0" applyFont="1" applyFill="1" applyBorder="1" applyAlignment="1">
      <alignment vertical="center"/>
    </xf>
    <xf numFmtId="0" fontId="48" fillId="34" borderId="23" xfId="42" applyNumberFormat="1" applyFont="1" applyFill="1" applyBorder="1" applyAlignment="1" applyProtection="1">
      <alignment horizontal="center" vertical="center"/>
      <protection locked="0"/>
    </xf>
    <xf numFmtId="0" fontId="48" fillId="34" borderId="23" xfId="0" applyFont="1" applyFill="1" applyBorder="1" applyAlignment="1" applyProtection="1">
      <alignment horizontal="center" vertical="center"/>
      <protection locked="0"/>
    </xf>
    <xf numFmtId="0" fontId="40" fillId="34" borderId="23" xfId="0" applyFont="1" applyFill="1" applyBorder="1" applyAlignment="1">
      <alignment vertical="center"/>
    </xf>
    <xf numFmtId="0" fontId="48" fillId="34" borderId="23" xfId="0" applyFont="1" applyFill="1" applyBorder="1" applyAlignment="1" applyProtection="1">
      <alignment vertical="center"/>
      <protection/>
    </xf>
    <xf numFmtId="1" fontId="48" fillId="34" borderId="23" xfId="42" applyNumberFormat="1" applyFont="1" applyFill="1" applyBorder="1" applyAlignment="1" applyProtection="1">
      <alignment vertical="center"/>
      <protection hidden="1"/>
    </xf>
    <xf numFmtId="0" fontId="48" fillId="34" borderId="23" xfId="0" applyFont="1" applyFill="1" applyBorder="1" applyAlignment="1" applyProtection="1">
      <alignment vertical="center"/>
      <protection locked="0"/>
    </xf>
    <xf numFmtId="0" fontId="42" fillId="35" borderId="23" xfId="0" applyFont="1" applyFill="1" applyBorder="1" applyAlignment="1">
      <alignment vertical="center"/>
    </xf>
    <xf numFmtId="0" fontId="48" fillId="35" borderId="23" xfId="0" applyFont="1" applyFill="1" applyBorder="1" applyAlignment="1" applyProtection="1">
      <alignment vertical="center"/>
      <protection locked="0"/>
    </xf>
    <xf numFmtId="1" fontId="48" fillId="35" borderId="23" xfId="42" applyNumberFormat="1" applyFont="1" applyFill="1" applyBorder="1" applyAlignment="1" applyProtection="1">
      <alignment vertical="center"/>
      <protection hidden="1"/>
    </xf>
    <xf numFmtId="0" fontId="42" fillId="35" borderId="23" xfId="0" applyFont="1" applyFill="1" applyBorder="1" applyAlignment="1" applyProtection="1">
      <alignment vertical="center"/>
      <protection locked="0"/>
    </xf>
    <xf numFmtId="0" fontId="48" fillId="34" borderId="23" xfId="0" applyFont="1" applyFill="1" applyBorder="1" applyAlignment="1" applyProtection="1">
      <alignment vertical="center"/>
      <protection hidden="1"/>
    </xf>
    <xf numFmtId="9" fontId="48" fillId="34" borderId="23" xfId="63" applyNumberFormat="1" applyFont="1" applyFill="1" applyBorder="1" applyAlignment="1" applyProtection="1">
      <alignment horizontal="center" vertical="center"/>
      <protection locked="0"/>
    </xf>
    <xf numFmtId="0" fontId="42" fillId="34" borderId="23" xfId="0" applyFont="1" applyFill="1" applyBorder="1" applyAlignment="1">
      <alignment vertical="center"/>
    </xf>
    <xf numFmtId="9" fontId="48" fillId="34" borderId="23" xfId="42" applyNumberFormat="1" applyFont="1" applyFill="1" applyBorder="1" applyAlignment="1" applyProtection="1">
      <alignment horizontal="center"/>
      <protection locked="0"/>
    </xf>
    <xf numFmtId="1" fontId="36" fillId="35" borderId="23" xfId="0" applyNumberFormat="1" applyFont="1" applyFill="1" applyBorder="1" applyAlignment="1" applyProtection="1">
      <alignment vertical="center"/>
      <protection hidden="1"/>
    </xf>
    <xf numFmtId="1" fontId="36" fillId="35" borderId="23" xfId="42" applyNumberFormat="1" applyFont="1" applyFill="1" applyBorder="1" applyAlignment="1" applyProtection="1">
      <alignment vertical="center"/>
      <protection hidden="1"/>
    </xf>
    <xf numFmtId="180" fontId="42" fillId="34" borderId="23" xfId="42" applyNumberFormat="1" applyFont="1" applyFill="1" applyBorder="1" applyAlignment="1" applyProtection="1">
      <alignment horizontal="right" vertical="center"/>
      <protection hidden="1"/>
    </xf>
    <xf numFmtId="0" fontId="42" fillId="34" borderId="23" xfId="0" applyFont="1" applyFill="1" applyBorder="1" applyAlignment="1" applyProtection="1">
      <alignment horizontal="center" vertical="center"/>
      <protection hidden="1"/>
    </xf>
    <xf numFmtId="0" fontId="42" fillId="34" borderId="23" xfId="0" applyFont="1" applyFill="1" applyBorder="1" applyAlignment="1">
      <alignment horizontal="center" vertical="center"/>
    </xf>
    <xf numFmtId="1" fontId="48" fillId="34" borderId="23" xfId="0" applyNumberFormat="1" applyFont="1" applyFill="1" applyBorder="1" applyAlignment="1" applyProtection="1">
      <alignment horizontal="right" vertical="center"/>
      <protection hidden="1"/>
    </xf>
    <xf numFmtId="1" fontId="42" fillId="34" borderId="23" xfId="42" applyNumberFormat="1" applyFont="1" applyFill="1" applyBorder="1" applyAlignment="1" applyProtection="1">
      <alignment vertical="center"/>
      <protection hidden="1"/>
    </xf>
    <xf numFmtId="1" fontId="48" fillId="34" borderId="23" xfId="0" applyNumberFormat="1" applyFont="1" applyFill="1" applyBorder="1" applyAlignment="1" applyProtection="1">
      <alignment vertical="center"/>
      <protection hidden="1"/>
    </xf>
    <xf numFmtId="1" fontId="47" fillId="35" borderId="23" xfId="0" applyNumberFormat="1" applyFont="1" applyFill="1" applyBorder="1" applyAlignment="1" applyProtection="1">
      <alignment vertical="center"/>
      <protection hidden="1"/>
    </xf>
    <xf numFmtId="1" fontId="47" fillId="35" borderId="23" xfId="42" applyNumberFormat="1" applyFont="1" applyFill="1" applyBorder="1" applyAlignment="1" applyProtection="1">
      <alignment vertical="center"/>
      <protection hidden="1"/>
    </xf>
    <xf numFmtId="0" fontId="39" fillId="34" borderId="23" xfId="0" applyFont="1" applyFill="1" applyBorder="1" applyAlignment="1">
      <alignment horizontal="center"/>
    </xf>
    <xf numFmtId="1" fontId="22" fillId="34" borderId="0" xfId="0" applyNumberFormat="1" applyFont="1" applyFill="1" applyBorder="1" applyAlignment="1">
      <alignment vertical="center"/>
    </xf>
    <xf numFmtId="0" fontId="4" fillId="37" borderId="10" xfId="0" applyFont="1" applyFill="1" applyBorder="1" applyAlignment="1">
      <alignment horizontal="left"/>
    </xf>
    <xf numFmtId="0" fontId="2" fillId="37" borderId="10" xfId="0" applyFont="1" applyFill="1" applyBorder="1" applyAlignment="1">
      <alignment horizontal="center"/>
    </xf>
    <xf numFmtId="0" fontId="31" fillId="37" borderId="10" xfId="54" applyNumberFormat="1" applyFont="1" applyFill="1" applyBorder="1" applyAlignment="1" applyProtection="1">
      <alignment horizontal="left"/>
      <protection/>
    </xf>
    <xf numFmtId="0" fontId="3" fillId="45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44" borderId="10" xfId="0" applyFont="1" applyFill="1" applyBorder="1" applyAlignment="1">
      <alignment horizontal="center"/>
    </xf>
    <xf numFmtId="0" fontId="58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54" fillId="37" borderId="10" xfId="54" applyNumberFormat="1" applyFont="1" applyFill="1" applyBorder="1" applyAlignment="1" applyProtection="1">
      <alignment horizontal="left" vertical="center"/>
      <protection/>
    </xf>
    <xf numFmtId="0" fontId="31" fillId="37" borderId="10" xfId="54" applyNumberFormat="1" applyFont="1" applyFill="1" applyBorder="1" applyAlignment="1" applyProtection="1">
      <alignment horizontal="left" vertical="center"/>
      <protection/>
    </xf>
    <xf numFmtId="0" fontId="11" fillId="37" borderId="36" xfId="54" applyNumberFormat="1" applyFont="1" applyFill="1" applyBorder="1" applyAlignment="1" applyProtection="1">
      <alignment horizontal="center" vertical="center" wrapText="1"/>
      <protection/>
    </xf>
    <xf numFmtId="0" fontId="11" fillId="37" borderId="37" xfId="54" applyNumberFormat="1" applyFont="1" applyFill="1" applyBorder="1" applyAlignment="1" applyProtection="1">
      <alignment horizontal="center" vertical="center" wrapText="1"/>
      <protection/>
    </xf>
    <xf numFmtId="0" fontId="11" fillId="37" borderId="38" xfId="54" applyNumberFormat="1" applyFont="1" applyFill="1" applyBorder="1" applyAlignment="1" applyProtection="1">
      <alignment horizontal="center" vertical="center" wrapText="1"/>
      <protection/>
    </xf>
    <xf numFmtId="0" fontId="56" fillId="37" borderId="28" xfId="54" applyNumberFormat="1" applyFont="1" applyFill="1" applyBorder="1" applyAlignment="1" applyProtection="1">
      <alignment horizontal="center"/>
      <protection/>
    </xf>
    <xf numFmtId="0" fontId="4" fillId="37" borderId="28" xfId="0" applyFont="1" applyFill="1" applyBorder="1" applyAlignment="1">
      <alignment horizontal="center"/>
    </xf>
    <xf numFmtId="0" fontId="2" fillId="37" borderId="25" xfId="0" applyFont="1" applyFill="1" applyBorder="1" applyAlignment="1">
      <alignment horizontal="center"/>
    </xf>
    <xf numFmtId="0" fontId="31" fillId="37" borderId="25" xfId="54" applyNumberFormat="1" applyFont="1" applyFill="1" applyBorder="1" applyAlignment="1" applyProtection="1">
      <alignment horizontal="left" vertical="center"/>
      <protection/>
    </xf>
    <xf numFmtId="0" fontId="57" fillId="46" borderId="28" xfId="54" applyNumberFormat="1" applyFont="1" applyFill="1" applyBorder="1" applyAlignment="1" applyProtection="1">
      <alignment horizontal="center"/>
      <protection/>
    </xf>
    <xf numFmtId="0" fontId="31" fillId="37" borderId="28" xfId="54" applyNumberFormat="1" applyFont="1" applyFill="1" applyBorder="1" applyAlignment="1" applyProtection="1">
      <alignment horizontal="center"/>
      <protection/>
    </xf>
    <xf numFmtId="0" fontId="8" fillId="37" borderId="39" xfId="54" applyNumberFormat="1" applyFill="1" applyBorder="1" applyAlignment="1" applyProtection="1">
      <alignment horizontal="center"/>
      <protection/>
    </xf>
    <xf numFmtId="0" fontId="56" fillId="37" borderId="40" xfId="54" applyNumberFormat="1" applyFont="1" applyFill="1" applyBorder="1" applyAlignment="1" applyProtection="1">
      <alignment horizontal="center"/>
      <protection/>
    </xf>
    <xf numFmtId="0" fontId="56" fillId="37" borderId="41" xfId="54" applyNumberFormat="1" applyFont="1" applyFill="1" applyBorder="1" applyAlignment="1" applyProtection="1">
      <alignment horizontal="center"/>
      <protection/>
    </xf>
    <xf numFmtId="0" fontId="14" fillId="33" borderId="10" xfId="58" applyFont="1" applyFill="1" applyBorder="1" applyAlignment="1" applyProtection="1">
      <alignment horizontal="center" vertical="center"/>
      <protection/>
    </xf>
    <xf numFmtId="0" fontId="15" fillId="33" borderId="10" xfId="58" applyFont="1" applyFill="1" applyBorder="1" applyAlignment="1" applyProtection="1">
      <alignment horizontal="center" vertical="center"/>
      <protection/>
    </xf>
    <xf numFmtId="0" fontId="8" fillId="0" borderId="0" xfId="54" applyNumberFormat="1" applyFont="1" applyFill="1" applyBorder="1" applyAlignment="1" applyProtection="1">
      <alignment horizontal="center" vertical="center"/>
      <protection/>
    </xf>
    <xf numFmtId="0" fontId="16" fillId="47" borderId="10" xfId="58" applyFont="1" applyFill="1" applyBorder="1" applyAlignment="1" applyProtection="1">
      <alignment horizontal="center" vertical="center"/>
      <protection/>
    </xf>
    <xf numFmtId="0" fontId="17" fillId="33" borderId="10" xfId="58" applyFont="1" applyFill="1" applyBorder="1" applyAlignment="1" applyProtection="1">
      <alignment horizontal="left" vertical="center" wrapText="1"/>
      <protection/>
    </xf>
    <xf numFmtId="0" fontId="60" fillId="48" borderId="10" xfId="58" applyFont="1" applyFill="1" applyBorder="1" applyAlignment="1" applyProtection="1">
      <alignment horizontal="center" vertical="center" wrapText="1"/>
      <protection/>
    </xf>
    <xf numFmtId="0" fontId="53" fillId="49" borderId="23" xfId="0" applyFont="1" applyFill="1" applyBorder="1" applyAlignment="1">
      <alignment horizontal="center"/>
    </xf>
    <xf numFmtId="0" fontId="24" fillId="44" borderId="23" xfId="0" applyFont="1" applyFill="1" applyBorder="1" applyAlignment="1">
      <alignment horizontal="center"/>
    </xf>
    <xf numFmtId="0" fontId="22" fillId="34" borderId="23" xfId="0" applyFont="1" applyFill="1" applyBorder="1" applyAlignment="1">
      <alignment horizontal="left"/>
    </xf>
    <xf numFmtId="0" fontId="22" fillId="34" borderId="23" xfId="0" applyFont="1" applyFill="1" applyBorder="1" applyAlignment="1">
      <alignment horizontal="center"/>
    </xf>
    <xf numFmtId="0" fontId="24" fillId="44" borderId="29" xfId="0" applyFont="1" applyFill="1" applyBorder="1" applyAlignment="1" applyProtection="1">
      <alignment horizontal="center"/>
      <protection locked="0"/>
    </xf>
    <xf numFmtId="0" fontId="24" fillId="44" borderId="42" xfId="0" applyFont="1" applyFill="1" applyBorder="1" applyAlignment="1" applyProtection="1">
      <alignment horizontal="center"/>
      <protection locked="0"/>
    </xf>
    <xf numFmtId="0" fontId="24" fillId="44" borderId="27" xfId="0" applyFont="1" applyFill="1" applyBorder="1" applyAlignment="1" applyProtection="1">
      <alignment horizontal="center"/>
      <protection locked="0"/>
    </xf>
    <xf numFmtId="0" fontId="25" fillId="35" borderId="10" xfId="54" applyNumberFormat="1" applyFont="1" applyFill="1" applyBorder="1" applyAlignment="1" applyProtection="1">
      <alignment horizontal="center" vertical="center" wrapText="1"/>
      <protection/>
    </xf>
    <xf numFmtId="0" fontId="26" fillId="50" borderId="23" xfId="0" applyFont="1" applyFill="1" applyBorder="1" applyAlignment="1">
      <alignment horizontal="center"/>
    </xf>
    <xf numFmtId="0" fontId="22" fillId="35" borderId="23" xfId="0" applyFont="1" applyFill="1" applyBorder="1" applyAlignment="1">
      <alignment horizontal="center"/>
    </xf>
    <xf numFmtId="180" fontId="22" fillId="34" borderId="23" xfId="42" applyNumberFormat="1" applyFont="1" applyFill="1" applyBorder="1" applyAlignment="1" applyProtection="1">
      <alignment horizontal="left"/>
      <protection/>
    </xf>
    <xf numFmtId="0" fontId="26" fillId="34" borderId="27" xfId="0" applyFont="1" applyFill="1" applyBorder="1" applyAlignment="1">
      <alignment horizontal="center"/>
    </xf>
    <xf numFmtId="0" fontId="26" fillId="34" borderId="23" xfId="0" applyFont="1" applyFill="1" applyBorder="1" applyAlignment="1">
      <alignment horizontal="center"/>
    </xf>
    <xf numFmtId="0" fontId="59" fillId="36" borderId="27" xfId="0" applyFont="1" applyFill="1" applyBorder="1" applyAlignment="1">
      <alignment horizontal="center"/>
    </xf>
    <xf numFmtId="0" fontId="59" fillId="36" borderId="23" xfId="0" applyFont="1" applyFill="1" applyBorder="1" applyAlignment="1">
      <alignment horizontal="center"/>
    </xf>
    <xf numFmtId="0" fontId="112" fillId="34" borderId="28" xfId="0" applyFont="1" applyFill="1" applyBorder="1" applyAlignment="1">
      <alignment horizontal="center" vertical="center" wrapText="1"/>
    </xf>
    <xf numFmtId="180" fontId="26" fillId="35" borderId="23" xfId="42" applyNumberFormat="1" applyFont="1" applyFill="1" applyBorder="1" applyAlignment="1" applyProtection="1">
      <alignment horizontal="center"/>
      <protection hidden="1"/>
    </xf>
    <xf numFmtId="0" fontId="27" fillId="34" borderId="23" xfId="0" applyFont="1" applyFill="1" applyBorder="1" applyAlignment="1">
      <alignment horizontal="center"/>
    </xf>
    <xf numFmtId="0" fontId="62" fillId="33" borderId="0" xfId="0" applyFont="1" applyFill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30" fillId="33" borderId="1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1" fillId="50" borderId="10" xfId="54" applyNumberFormat="1" applyFont="1" applyFill="1" applyBorder="1" applyAlignment="1" applyProtection="1">
      <alignment horizontal="center" vertical="center" wrapText="1"/>
      <protection/>
    </xf>
    <xf numFmtId="0" fontId="26" fillId="36" borderId="23" xfId="0" applyFont="1" applyFill="1" applyBorder="1" applyAlignment="1">
      <alignment horizontal="center"/>
    </xf>
    <xf numFmtId="180" fontId="22" fillId="34" borderId="23" xfId="42" applyNumberFormat="1" applyFont="1" applyFill="1" applyBorder="1" applyAlignment="1" applyProtection="1">
      <alignment horizontal="left"/>
      <protection hidden="1"/>
    </xf>
    <xf numFmtId="180" fontId="22" fillId="34" borderId="29" xfId="0" applyNumberFormat="1" applyFont="1" applyFill="1" applyBorder="1" applyAlignment="1">
      <alignment horizontal="left"/>
    </xf>
    <xf numFmtId="180" fontId="22" fillId="34" borderId="27" xfId="0" applyNumberFormat="1" applyFont="1" applyFill="1" applyBorder="1" applyAlignment="1">
      <alignment horizontal="left"/>
    </xf>
    <xf numFmtId="0" fontId="24" fillId="34" borderId="29" xfId="0" applyFont="1" applyFill="1" applyBorder="1" applyAlignment="1" applyProtection="1">
      <alignment horizontal="center"/>
      <protection locked="0"/>
    </xf>
    <xf numFmtId="0" fontId="24" fillId="34" borderId="42" xfId="0" applyFont="1" applyFill="1" applyBorder="1" applyAlignment="1" applyProtection="1">
      <alignment horizontal="center"/>
      <protection locked="0"/>
    </xf>
    <xf numFmtId="0" fontId="24" fillId="34" borderId="27" xfId="0" applyFont="1" applyFill="1" applyBorder="1" applyAlignment="1" applyProtection="1">
      <alignment horizontal="center"/>
      <protection locked="0"/>
    </xf>
    <xf numFmtId="0" fontId="23" fillId="51" borderId="45" xfId="0" applyFont="1" applyFill="1" applyBorder="1" applyAlignment="1">
      <alignment horizontal="center"/>
    </xf>
    <xf numFmtId="0" fontId="24" fillId="34" borderId="23" xfId="0" applyFont="1" applyFill="1" applyBorder="1" applyAlignment="1">
      <alignment horizontal="center"/>
    </xf>
    <xf numFmtId="0" fontId="22" fillId="34" borderId="29" xfId="0" applyFont="1" applyFill="1" applyBorder="1" applyAlignment="1">
      <alignment horizontal="left"/>
    </xf>
    <xf numFmtId="0" fontId="22" fillId="34" borderId="27" xfId="0" applyFont="1" applyFill="1" applyBorder="1" applyAlignment="1">
      <alignment horizontal="left"/>
    </xf>
    <xf numFmtId="0" fontId="26" fillId="36" borderId="29" xfId="0" applyFont="1" applyFill="1" applyBorder="1" applyAlignment="1">
      <alignment horizontal="left"/>
    </xf>
    <xf numFmtId="0" fontId="26" fillId="36" borderId="27" xfId="0" applyFont="1" applyFill="1" applyBorder="1" applyAlignment="1">
      <alignment horizontal="left"/>
    </xf>
    <xf numFmtId="0" fontId="27" fillId="34" borderId="46" xfId="0" applyFont="1" applyFill="1" applyBorder="1" applyAlignment="1">
      <alignment horizontal="center"/>
    </xf>
    <xf numFmtId="0" fontId="27" fillId="34" borderId="47" xfId="0" applyFont="1" applyFill="1" applyBorder="1" applyAlignment="1">
      <alignment horizontal="center"/>
    </xf>
    <xf numFmtId="0" fontId="27" fillId="34" borderId="48" xfId="0" applyFont="1" applyFill="1" applyBorder="1" applyAlignment="1">
      <alignment horizontal="center"/>
    </xf>
    <xf numFmtId="180" fontId="26" fillId="36" borderId="23" xfId="42" applyNumberFormat="1" applyFont="1" applyFill="1" applyBorder="1" applyAlignment="1" applyProtection="1">
      <alignment horizontal="center"/>
      <protection hidden="1"/>
    </xf>
    <xf numFmtId="0" fontId="22" fillId="34" borderId="28" xfId="0" applyFont="1" applyFill="1" applyBorder="1" applyAlignment="1">
      <alignment horizontal="center"/>
    </xf>
    <xf numFmtId="0" fontId="29" fillId="36" borderId="28" xfId="0" applyFont="1" applyFill="1" applyBorder="1" applyAlignment="1">
      <alignment horizontal="center"/>
    </xf>
    <xf numFmtId="0" fontId="26" fillId="34" borderId="28" xfId="0" applyFont="1" applyFill="1" applyBorder="1" applyAlignment="1">
      <alignment horizontal="center"/>
    </xf>
    <xf numFmtId="0" fontId="63" fillId="33" borderId="10" xfId="0" applyFont="1" applyFill="1" applyBorder="1" applyAlignment="1">
      <alignment horizontal="center"/>
    </xf>
    <xf numFmtId="0" fontId="63" fillId="33" borderId="11" xfId="0" applyFont="1" applyFill="1" applyBorder="1" applyAlignment="1">
      <alignment horizontal="center"/>
    </xf>
    <xf numFmtId="0" fontId="21" fillId="33" borderId="49" xfId="0" applyFont="1" applyFill="1" applyBorder="1" applyAlignment="1">
      <alignment horizontal="center"/>
    </xf>
    <xf numFmtId="0" fontId="21" fillId="33" borderId="50" xfId="0" applyFont="1" applyFill="1" applyBorder="1" applyAlignment="1">
      <alignment horizontal="center"/>
    </xf>
    <xf numFmtId="0" fontId="21" fillId="33" borderId="39" xfId="0" applyFont="1" applyFill="1" applyBorder="1" applyAlignment="1">
      <alignment horizontal="center"/>
    </xf>
    <xf numFmtId="0" fontId="21" fillId="33" borderId="40" xfId="0" applyFont="1" applyFill="1" applyBorder="1" applyAlignment="1">
      <alignment horizontal="center"/>
    </xf>
    <xf numFmtId="0" fontId="21" fillId="33" borderId="41" xfId="0" applyFont="1" applyFill="1" applyBorder="1" applyAlignment="1">
      <alignment horizontal="center"/>
    </xf>
    <xf numFmtId="0" fontId="63" fillId="33" borderId="13" xfId="0" applyFont="1" applyFill="1" applyBorder="1" applyAlignment="1">
      <alignment horizontal="center"/>
    </xf>
    <xf numFmtId="0" fontId="63" fillId="33" borderId="14" xfId="0" applyFont="1" applyFill="1" applyBorder="1" applyAlignment="1">
      <alignment horizontal="center"/>
    </xf>
    <xf numFmtId="0" fontId="63" fillId="33" borderId="28" xfId="0" applyFont="1" applyFill="1" applyBorder="1" applyAlignment="1">
      <alignment horizontal="center"/>
    </xf>
    <xf numFmtId="0" fontId="63" fillId="33" borderId="51" xfId="0" applyFont="1" applyFill="1" applyBorder="1" applyAlignment="1">
      <alignment horizontal="center"/>
    </xf>
    <xf numFmtId="0" fontId="23" fillId="36" borderId="23" xfId="0" applyFont="1" applyFill="1" applyBorder="1" applyAlignment="1">
      <alignment horizontal="center"/>
    </xf>
    <xf numFmtId="0" fontId="24" fillId="34" borderId="23" xfId="0" applyFont="1" applyFill="1" applyBorder="1" applyAlignment="1">
      <alignment horizontal="center" vertical="center"/>
    </xf>
    <xf numFmtId="0" fontId="35" fillId="35" borderId="10" xfId="54" applyNumberFormat="1" applyFont="1" applyFill="1" applyBorder="1" applyAlignment="1" applyProtection="1">
      <alignment horizontal="center" vertical="center"/>
      <protection/>
    </xf>
    <xf numFmtId="0" fontId="113" fillId="51" borderId="23" xfId="0" applyFont="1" applyFill="1" applyBorder="1" applyAlignment="1">
      <alignment horizontal="center"/>
    </xf>
    <xf numFmtId="0" fontId="22" fillId="34" borderId="23" xfId="0" applyFont="1" applyFill="1" applyBorder="1" applyAlignment="1">
      <alignment horizontal="center" vertical="center"/>
    </xf>
    <xf numFmtId="0" fontId="22" fillId="34" borderId="23" xfId="0" applyFont="1" applyFill="1" applyBorder="1" applyAlignment="1">
      <alignment horizontal="left" vertical="center"/>
    </xf>
    <xf numFmtId="0" fontId="24" fillId="34" borderId="29" xfId="0" applyFont="1" applyFill="1" applyBorder="1" applyAlignment="1" applyProtection="1">
      <alignment horizontal="center" vertical="center"/>
      <protection locked="0"/>
    </xf>
    <xf numFmtId="0" fontId="24" fillId="34" borderId="42" xfId="0" applyFont="1" applyFill="1" applyBorder="1" applyAlignment="1" applyProtection="1">
      <alignment horizontal="center" vertical="center"/>
      <protection locked="0"/>
    </xf>
    <xf numFmtId="0" fontId="24" fillId="34" borderId="27" xfId="0" applyFont="1" applyFill="1" applyBorder="1" applyAlignment="1" applyProtection="1">
      <alignment horizontal="center" vertical="center"/>
      <protection locked="0"/>
    </xf>
    <xf numFmtId="180" fontId="22" fillId="34" borderId="23" xfId="42" applyNumberFormat="1" applyFont="1" applyFill="1" applyBorder="1" applyAlignment="1" applyProtection="1">
      <alignment horizontal="left" vertical="center"/>
      <protection hidden="1"/>
    </xf>
    <xf numFmtId="180" fontId="22" fillId="43" borderId="23" xfId="42" applyNumberFormat="1" applyFont="1" applyFill="1" applyBorder="1" applyAlignment="1" applyProtection="1">
      <alignment horizontal="center"/>
      <protection hidden="1"/>
    </xf>
    <xf numFmtId="0" fontId="27" fillId="34" borderId="23" xfId="0" applyFont="1" applyFill="1" applyBorder="1" applyAlignment="1">
      <alignment horizontal="center" vertical="center"/>
    </xf>
    <xf numFmtId="0" fontId="114" fillId="34" borderId="27" xfId="0" applyFont="1" applyFill="1" applyBorder="1" applyAlignment="1">
      <alignment horizontal="center"/>
    </xf>
    <xf numFmtId="0" fontId="114" fillId="34" borderId="23" xfId="0" applyFont="1" applyFill="1" applyBorder="1" applyAlignment="1">
      <alignment horizontal="center"/>
    </xf>
    <xf numFmtId="0" fontId="26" fillId="35" borderId="27" xfId="0" applyFont="1" applyFill="1" applyBorder="1" applyAlignment="1">
      <alignment horizontal="center"/>
    </xf>
    <xf numFmtId="0" fontId="26" fillId="35" borderId="23" xfId="0" applyFont="1" applyFill="1" applyBorder="1" applyAlignment="1">
      <alignment horizontal="center"/>
    </xf>
    <xf numFmtId="0" fontId="26" fillId="36" borderId="23" xfId="0" applyFont="1" applyFill="1" applyBorder="1" applyAlignment="1">
      <alignment horizontal="center" vertical="center"/>
    </xf>
    <xf numFmtId="0" fontId="22" fillId="34" borderId="27" xfId="0" applyFont="1" applyFill="1" applyBorder="1" applyAlignment="1">
      <alignment horizontal="center" vertical="center"/>
    </xf>
    <xf numFmtId="0" fontId="115" fillId="51" borderId="23" xfId="0" applyFont="1" applyFill="1" applyBorder="1" applyAlignment="1">
      <alignment horizontal="center"/>
    </xf>
    <xf numFmtId="0" fontId="37" fillId="35" borderId="10" xfId="54" applyNumberFormat="1" applyFont="1" applyFill="1" applyBorder="1" applyAlignment="1" applyProtection="1">
      <alignment horizontal="center" vertical="center"/>
      <protection/>
    </xf>
    <xf numFmtId="180" fontId="22" fillId="34" borderId="23" xfId="42" applyNumberFormat="1" applyFont="1" applyFill="1" applyBorder="1" applyAlignment="1" applyProtection="1">
      <alignment horizontal="center"/>
      <protection hidden="1"/>
    </xf>
    <xf numFmtId="0" fontId="38" fillId="36" borderId="27" xfId="0" applyFont="1" applyFill="1" applyBorder="1" applyAlignment="1">
      <alignment horizontal="center"/>
    </xf>
    <xf numFmtId="0" fontId="38" fillId="36" borderId="23" xfId="0" applyFont="1" applyFill="1" applyBorder="1" applyAlignment="1">
      <alignment horizontal="center"/>
    </xf>
    <xf numFmtId="0" fontId="34" fillId="51" borderId="23" xfId="0" applyFont="1" applyFill="1" applyBorder="1" applyAlignment="1">
      <alignment horizontal="center"/>
    </xf>
    <xf numFmtId="0" fontId="39" fillId="34" borderId="23" xfId="0" applyFont="1" applyFill="1" applyBorder="1" applyAlignment="1">
      <alignment horizontal="center"/>
    </xf>
    <xf numFmtId="0" fontId="42" fillId="34" borderId="23" xfId="0" applyFont="1" applyFill="1" applyBorder="1" applyAlignment="1">
      <alignment horizontal="center"/>
    </xf>
    <xf numFmtId="10" fontId="41" fillId="34" borderId="46" xfId="0" applyNumberFormat="1" applyFont="1" applyFill="1" applyBorder="1" applyAlignment="1">
      <alignment horizontal="center"/>
    </xf>
    <xf numFmtId="10" fontId="41" fillId="34" borderId="47" xfId="0" applyNumberFormat="1" applyFont="1" applyFill="1" applyBorder="1" applyAlignment="1">
      <alignment horizontal="center"/>
    </xf>
    <xf numFmtId="10" fontId="41" fillId="34" borderId="48" xfId="0" applyNumberFormat="1" applyFont="1" applyFill="1" applyBorder="1" applyAlignment="1">
      <alignment horizontal="center"/>
    </xf>
    <xf numFmtId="180" fontId="38" fillId="34" borderId="23" xfId="42" applyNumberFormat="1" applyFont="1" applyFill="1" applyBorder="1" applyAlignment="1" applyProtection="1">
      <alignment horizontal="center"/>
      <protection hidden="1"/>
    </xf>
    <xf numFmtId="0" fontId="36" fillId="34" borderId="23" xfId="0" applyFont="1" applyFill="1" applyBorder="1" applyAlignment="1">
      <alignment horizontal="center"/>
    </xf>
    <xf numFmtId="180" fontId="36" fillId="34" borderId="23" xfId="42" applyNumberFormat="1" applyFont="1" applyFill="1" applyBorder="1" applyAlignment="1" applyProtection="1">
      <alignment horizontal="center"/>
      <protection hidden="1"/>
    </xf>
    <xf numFmtId="0" fontId="40" fillId="44" borderId="10" xfId="54" applyNumberFormat="1" applyFont="1" applyFill="1" applyBorder="1" applyAlignment="1" applyProtection="1">
      <alignment horizontal="center" vertical="center" wrapText="1"/>
      <protection/>
    </xf>
    <xf numFmtId="0" fontId="36" fillId="34" borderId="46" xfId="0" applyFont="1" applyFill="1" applyBorder="1" applyAlignment="1">
      <alignment horizontal="center"/>
    </xf>
    <xf numFmtId="0" fontId="36" fillId="34" borderId="47" xfId="0" applyFont="1" applyFill="1" applyBorder="1" applyAlignment="1">
      <alignment horizontal="center"/>
    </xf>
    <xf numFmtId="0" fontId="36" fillId="34" borderId="48" xfId="0" applyFont="1" applyFill="1" applyBorder="1" applyAlignment="1">
      <alignment horizontal="center"/>
    </xf>
    <xf numFmtId="0" fontId="39" fillId="34" borderId="29" xfId="0" applyFont="1" applyFill="1" applyBorder="1" applyAlignment="1" applyProtection="1">
      <alignment horizontal="center"/>
      <protection locked="0"/>
    </xf>
    <xf numFmtId="0" fontId="39" fillId="34" borderId="42" xfId="0" applyFont="1" applyFill="1" applyBorder="1" applyAlignment="1" applyProtection="1">
      <alignment horizontal="center"/>
      <protection locked="0"/>
    </xf>
    <xf numFmtId="0" fontId="39" fillId="34" borderId="27" xfId="0" applyFont="1" applyFill="1" applyBorder="1" applyAlignment="1" applyProtection="1">
      <alignment horizontal="center"/>
      <protection locked="0"/>
    </xf>
    <xf numFmtId="0" fontId="38" fillId="36" borderId="29" xfId="0" applyFont="1" applyFill="1" applyBorder="1" applyAlignment="1">
      <alignment horizontal="center" vertical="center"/>
    </xf>
    <xf numFmtId="0" fontId="38" fillId="36" borderId="27" xfId="0" applyFont="1" applyFill="1" applyBorder="1" applyAlignment="1">
      <alignment horizontal="center" vertical="center"/>
    </xf>
    <xf numFmtId="0" fontId="43" fillId="35" borderId="23" xfId="0" applyFont="1" applyFill="1" applyBorder="1" applyAlignment="1">
      <alignment horizontal="center"/>
    </xf>
    <xf numFmtId="0" fontId="44" fillId="35" borderId="10" xfId="54" applyNumberFormat="1" applyFont="1" applyFill="1" applyBorder="1" applyAlignment="1" applyProtection="1">
      <alignment horizontal="center" vertical="center"/>
      <protection/>
    </xf>
    <xf numFmtId="0" fontId="38" fillId="36" borderId="23" xfId="0" applyFont="1" applyFill="1" applyBorder="1" applyAlignment="1">
      <alignment horizontal="center" vertical="center"/>
    </xf>
    <xf numFmtId="0" fontId="36" fillId="34" borderId="23" xfId="0" applyFont="1" applyFill="1" applyBorder="1" applyAlignment="1">
      <alignment horizontal="center" vertical="center"/>
    </xf>
    <xf numFmtId="0" fontId="39" fillId="34" borderId="29" xfId="0" applyFont="1" applyFill="1" applyBorder="1" applyAlignment="1" applyProtection="1">
      <alignment horizontal="center" vertical="center"/>
      <protection locked="0"/>
    </xf>
    <xf numFmtId="0" fontId="39" fillId="34" borderId="42" xfId="0" applyFont="1" applyFill="1" applyBorder="1" applyAlignment="1" applyProtection="1">
      <alignment horizontal="center" vertical="center"/>
      <protection locked="0"/>
    </xf>
    <xf numFmtId="0" fontId="39" fillId="34" borderId="27" xfId="0" applyFont="1" applyFill="1" applyBorder="1" applyAlignment="1" applyProtection="1">
      <alignment horizontal="center" vertical="center"/>
      <protection locked="0"/>
    </xf>
    <xf numFmtId="0" fontId="23" fillId="51" borderId="23" xfId="0" applyFont="1" applyFill="1" applyBorder="1" applyAlignment="1">
      <alignment horizontal="center"/>
    </xf>
    <xf numFmtId="0" fontId="39" fillId="34" borderId="23" xfId="0" applyFont="1" applyFill="1" applyBorder="1" applyAlignment="1">
      <alignment horizontal="center" vertical="center"/>
    </xf>
    <xf numFmtId="180" fontId="36" fillId="34" borderId="23" xfId="42" applyNumberFormat="1" applyFont="1" applyFill="1" applyBorder="1" applyAlignment="1" applyProtection="1">
      <alignment horizontal="center" vertical="center"/>
      <protection hidden="1"/>
    </xf>
    <xf numFmtId="180" fontId="38" fillId="34" borderId="23" xfId="42" applyNumberFormat="1" applyFont="1" applyFill="1" applyBorder="1" applyAlignment="1" applyProtection="1">
      <alignment horizontal="center" vertical="center"/>
      <protection hidden="1"/>
    </xf>
    <xf numFmtId="0" fontId="38" fillId="34" borderId="23" xfId="0" applyFont="1" applyFill="1" applyBorder="1" applyAlignment="1">
      <alignment horizontal="center" vertical="center"/>
    </xf>
    <xf numFmtId="0" fontId="42" fillId="35" borderId="23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/>
    </xf>
    <xf numFmtId="0" fontId="66" fillId="33" borderId="20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8" fillId="34" borderId="10" xfId="54" applyNumberFormat="1" applyFill="1" applyBorder="1" applyAlignment="1" applyProtection="1">
      <alignment horizontal="center" vertical="center" wrapText="1"/>
      <protection/>
    </xf>
    <xf numFmtId="0" fontId="33" fillId="36" borderId="23" xfId="0" applyFont="1" applyFill="1" applyBorder="1" applyAlignment="1">
      <alignment horizontal="center"/>
    </xf>
    <xf numFmtId="0" fontId="15" fillId="34" borderId="23" xfId="0" applyFont="1" applyFill="1" applyBorder="1" applyAlignment="1">
      <alignment horizontal="center"/>
    </xf>
    <xf numFmtId="180" fontId="15" fillId="34" borderId="23" xfId="42" applyNumberFormat="1" applyFont="1" applyFill="1" applyBorder="1" applyAlignment="1" applyProtection="1">
      <alignment horizontal="center"/>
      <protection hidden="1"/>
    </xf>
    <xf numFmtId="0" fontId="33" fillId="34" borderId="23" xfId="0" applyFont="1" applyFill="1" applyBorder="1" applyAlignment="1">
      <alignment horizontal="center"/>
    </xf>
    <xf numFmtId="0" fontId="25" fillId="35" borderId="52" xfId="54" applyNumberFormat="1" applyFont="1" applyFill="1" applyBorder="1" applyAlignment="1" applyProtection="1">
      <alignment horizontal="center" vertical="center"/>
      <protection/>
    </xf>
    <xf numFmtId="0" fontId="38" fillId="35" borderId="23" xfId="0" applyFont="1" applyFill="1" applyBorder="1" applyAlignment="1">
      <alignment horizontal="center"/>
    </xf>
    <xf numFmtId="0" fontId="38" fillId="34" borderId="29" xfId="0" applyFont="1" applyFill="1" applyBorder="1" applyAlignment="1">
      <alignment horizontal="center"/>
    </xf>
    <xf numFmtId="0" fontId="38" fillId="34" borderId="42" xfId="0" applyFont="1" applyFill="1" applyBorder="1" applyAlignment="1">
      <alignment horizontal="center"/>
    </xf>
    <xf numFmtId="0" fontId="38" fillId="34" borderId="27" xfId="0" applyFont="1" applyFill="1" applyBorder="1" applyAlignment="1">
      <alignment horizontal="center"/>
    </xf>
    <xf numFmtId="0" fontId="115" fillId="52" borderId="23" xfId="0" applyFont="1" applyFill="1" applyBorder="1" applyAlignment="1">
      <alignment horizontal="center"/>
    </xf>
    <xf numFmtId="0" fontId="38" fillId="34" borderId="23" xfId="0" applyFont="1" applyFill="1" applyBorder="1" applyAlignment="1">
      <alignment horizontal="center"/>
    </xf>
    <xf numFmtId="0" fontId="38" fillId="35" borderId="21" xfId="0" applyFont="1" applyFill="1" applyBorder="1" applyAlignment="1">
      <alignment horizontal="center"/>
    </xf>
    <xf numFmtId="180" fontId="46" fillId="34" borderId="23" xfId="42" applyNumberFormat="1" applyFont="1" applyFill="1" applyBorder="1" applyAlignment="1" applyProtection="1">
      <alignment horizontal="center"/>
      <protection hidden="1"/>
    </xf>
    <xf numFmtId="0" fontId="41" fillId="34" borderId="23" xfId="0" applyFont="1" applyFill="1" applyBorder="1" applyAlignment="1">
      <alignment horizontal="center" vertical="center"/>
    </xf>
    <xf numFmtId="0" fontId="36" fillId="34" borderId="21" xfId="0" applyFont="1" applyFill="1" applyBorder="1" applyAlignment="1">
      <alignment horizontal="center"/>
    </xf>
    <xf numFmtId="0" fontId="38" fillId="34" borderId="21" xfId="0" applyFont="1" applyFill="1" applyBorder="1" applyAlignment="1">
      <alignment horizontal="center"/>
    </xf>
    <xf numFmtId="0" fontId="38" fillId="52" borderId="23" xfId="0" applyFont="1" applyFill="1" applyBorder="1" applyAlignment="1">
      <alignment horizontal="center" vertical="center"/>
    </xf>
    <xf numFmtId="0" fontId="48" fillId="34" borderId="23" xfId="0" applyFont="1" applyFill="1" applyBorder="1" applyAlignment="1">
      <alignment horizontal="center" vertical="center"/>
    </xf>
    <xf numFmtId="0" fontId="38" fillId="35" borderId="23" xfId="0" applyFont="1" applyFill="1" applyBorder="1" applyAlignment="1">
      <alignment horizontal="center" vertical="center"/>
    </xf>
    <xf numFmtId="0" fontId="8" fillId="34" borderId="0" xfId="54" applyFill="1" applyBorder="1" applyAlignment="1">
      <alignment horizontal="center" vertical="center"/>
    </xf>
    <xf numFmtId="0" fontId="42" fillId="34" borderId="23" xfId="0" applyFont="1" applyFill="1" applyBorder="1" applyAlignment="1">
      <alignment horizontal="center" vertical="center"/>
    </xf>
    <xf numFmtId="180" fontId="48" fillId="34" borderId="23" xfId="42" applyNumberFormat="1" applyFont="1" applyFill="1" applyBorder="1" applyAlignment="1" applyProtection="1">
      <alignment horizontal="center" vertical="center"/>
      <protection hidden="1"/>
    </xf>
    <xf numFmtId="180" fontId="46" fillId="34" borderId="23" xfId="42" applyNumberFormat="1" applyFont="1" applyFill="1" applyBorder="1" applyAlignment="1" applyProtection="1">
      <alignment horizontal="center" vertical="center"/>
      <protection hidden="1"/>
    </xf>
    <xf numFmtId="0" fontId="39" fillId="34" borderId="23" xfId="0" applyFont="1" applyFill="1" applyBorder="1" applyAlignment="1" applyProtection="1">
      <alignment horizontal="center" vertical="center"/>
      <protection locked="0"/>
    </xf>
    <xf numFmtId="0" fontId="112" fillId="34" borderId="23" xfId="0" applyFont="1" applyFill="1" applyBorder="1" applyAlignment="1">
      <alignment horizontal="center" vertical="center" wrapText="1"/>
    </xf>
    <xf numFmtId="0" fontId="47" fillId="35" borderId="23" xfId="0" applyFont="1" applyFill="1" applyBorder="1" applyAlignment="1">
      <alignment horizontal="center" vertical="center"/>
    </xf>
    <xf numFmtId="0" fontId="23" fillId="42" borderId="23" xfId="0" applyFont="1" applyFill="1" applyBorder="1" applyAlignment="1">
      <alignment horizontal="center"/>
    </xf>
    <xf numFmtId="0" fontId="37" fillId="35" borderId="10" xfId="54" applyNumberFormat="1" applyFont="1" applyFill="1" applyBorder="1" applyAlignment="1" applyProtection="1">
      <alignment horizontal="center" vertical="center" wrapText="1"/>
      <protection/>
    </xf>
    <xf numFmtId="0" fontId="26" fillId="35" borderId="23" xfId="0" applyFont="1" applyFill="1" applyBorder="1" applyAlignment="1">
      <alignment horizontal="center" vertical="center"/>
    </xf>
    <xf numFmtId="180" fontId="22" fillId="34" borderId="23" xfId="42" applyNumberFormat="1" applyFont="1" applyFill="1" applyBorder="1" applyAlignment="1" applyProtection="1">
      <alignment horizontal="center" vertical="center"/>
      <protection hidden="1"/>
    </xf>
    <xf numFmtId="0" fontId="22" fillId="35" borderId="23" xfId="0" applyFont="1" applyFill="1" applyBorder="1" applyAlignment="1">
      <alignment horizontal="center" vertical="center"/>
    </xf>
    <xf numFmtId="0" fontId="27" fillId="35" borderId="23" xfId="0" applyFont="1" applyFill="1" applyBorder="1" applyAlignment="1">
      <alignment horizontal="center" vertical="center"/>
    </xf>
    <xf numFmtId="10" fontId="26" fillId="35" borderId="23" xfId="0" applyNumberFormat="1" applyFont="1" applyFill="1" applyBorder="1" applyAlignment="1">
      <alignment horizontal="center" vertical="center"/>
    </xf>
    <xf numFmtId="0" fontId="26" fillId="34" borderId="21" xfId="0" applyFont="1" applyFill="1" applyBorder="1" applyAlignment="1" applyProtection="1">
      <alignment horizontal="center" vertical="center"/>
      <protection hidden="1"/>
    </xf>
    <xf numFmtId="0" fontId="30" fillId="34" borderId="21" xfId="0" applyFont="1" applyFill="1" applyBorder="1" applyAlignment="1" applyProtection="1">
      <alignment horizontal="center" vertical="center" wrapText="1"/>
      <protection hidden="1"/>
    </xf>
    <xf numFmtId="10" fontId="26" fillId="34" borderId="27" xfId="0" applyNumberFormat="1" applyFont="1" applyFill="1" applyBorder="1" applyAlignment="1">
      <alignment horizontal="center" vertical="center"/>
    </xf>
    <xf numFmtId="10" fontId="26" fillId="34" borderId="23" xfId="0" applyNumberFormat="1" applyFont="1" applyFill="1" applyBorder="1" applyAlignment="1">
      <alignment horizontal="center" vertical="center"/>
    </xf>
    <xf numFmtId="0" fontId="26" fillId="35" borderId="27" xfId="0" applyFont="1" applyFill="1" applyBorder="1" applyAlignment="1">
      <alignment horizontal="center" vertical="center"/>
    </xf>
    <xf numFmtId="0" fontId="26" fillId="35" borderId="21" xfId="0" applyFont="1" applyFill="1" applyBorder="1" applyAlignment="1" applyProtection="1">
      <alignment horizontal="center" vertical="center"/>
      <protection hidden="1"/>
    </xf>
    <xf numFmtId="0" fontId="26" fillId="33" borderId="20" xfId="0" applyFont="1" applyFill="1" applyBorder="1" applyAlignment="1">
      <alignment horizontal="center"/>
    </xf>
    <xf numFmtId="0" fontId="33" fillId="33" borderId="20" xfId="0" applyFont="1" applyFill="1" applyBorder="1" applyAlignment="1">
      <alignment horizontal="center"/>
    </xf>
    <xf numFmtId="0" fontId="24" fillId="34" borderId="29" xfId="0" applyFont="1" applyFill="1" applyBorder="1" applyAlignment="1">
      <alignment horizontal="center"/>
    </xf>
    <xf numFmtId="0" fontId="24" fillId="34" borderId="42" xfId="0" applyFont="1" applyFill="1" applyBorder="1" applyAlignment="1">
      <alignment horizontal="center"/>
    </xf>
    <xf numFmtId="0" fontId="24" fillId="34" borderId="27" xfId="0" applyFont="1" applyFill="1" applyBorder="1" applyAlignment="1">
      <alignment horizontal="center"/>
    </xf>
    <xf numFmtId="0" fontId="37" fillId="35" borderId="26" xfId="54" applyNumberFormat="1" applyFont="1" applyFill="1" applyBorder="1" applyAlignment="1" applyProtection="1">
      <alignment horizontal="center" vertical="center"/>
      <protection/>
    </xf>
    <xf numFmtId="0" fontId="37" fillId="35" borderId="25" xfId="54" applyNumberFormat="1" applyFont="1" applyFill="1" applyBorder="1" applyAlignment="1" applyProtection="1">
      <alignment horizontal="center" vertical="center"/>
      <protection/>
    </xf>
    <xf numFmtId="0" fontId="26" fillId="35" borderId="23" xfId="0" applyFont="1" applyFill="1" applyBorder="1" applyAlignment="1">
      <alignment horizontal="left"/>
    </xf>
    <xf numFmtId="180" fontId="26" fillId="53" borderId="23" xfId="42" applyNumberFormat="1" applyFont="1" applyFill="1" applyBorder="1" applyAlignment="1" applyProtection="1">
      <alignment horizontal="left"/>
      <protection hidden="1"/>
    </xf>
    <xf numFmtId="0" fontId="27" fillId="34" borderId="23" xfId="0" applyFont="1" applyFill="1" applyBorder="1" applyAlignment="1">
      <alignment horizontal="left"/>
    </xf>
    <xf numFmtId="0" fontId="26" fillId="34" borderId="23" xfId="0" applyFont="1" applyFill="1" applyBorder="1" applyAlignment="1">
      <alignment horizontal="left"/>
    </xf>
    <xf numFmtId="0" fontId="0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10</xdr:row>
      <xdr:rowOff>161925</xdr:rowOff>
    </xdr:from>
    <xdr:to>
      <xdr:col>9</xdr:col>
      <xdr:colOff>238125</xdr:colOff>
      <xdr:row>11</xdr:row>
      <xdr:rowOff>190500</xdr:rowOff>
    </xdr:to>
    <xdr:sp fLocksText="0">
      <xdr:nvSpPr>
        <xdr:cNvPr id="1" name="TextBox 3"/>
        <xdr:cNvSpPr txBox="1">
          <a:spLocks noChangeArrowheads="1"/>
        </xdr:cNvSpPr>
      </xdr:nvSpPr>
      <xdr:spPr>
        <a:xfrm>
          <a:off x="6781800" y="23717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ail.orientalinsurance.co.in/owa" TargetMode="External" /><Relationship Id="rId2" Type="http://schemas.openxmlformats.org/officeDocument/2006/relationships/hyperlink" Target="http://www.orientalinsurance.org.in/" TargetMode="External" /><Relationship Id="rId3" Type="http://schemas.openxmlformats.org/officeDocument/2006/relationships/hyperlink" Target="http://10.244.0.50:7778/forms/frmservlet?Config=inliaslive" TargetMode="External" /><Relationship Id="rId4" Type="http://schemas.openxmlformats.org/officeDocument/2006/relationships/hyperlink" Target="http://10.0.0.50:7778/forms/frmservlet?config=inlias_nontxn" TargetMode="External" /><Relationship Id="rId5" Type="http://schemas.openxmlformats.org/officeDocument/2006/relationships/hyperlink" Target="http://www.irdaonline.org/Index.htm" TargetMode="External" /><Relationship Id="rId6" Type="http://schemas.openxmlformats.org/officeDocument/2006/relationships/hyperlink" Target="http://10.244.0.120:8011/psp/HRSPROD" TargetMode="External" /><Relationship Id="rId7" Type="http://schemas.openxmlformats.org/officeDocument/2006/relationships/hyperlink" Target="http://10.244.0.50:7778/forms/frmservlet?Config=win7_inlias" TargetMode="External" /><Relationship Id="rId8" Type="http://schemas.openxmlformats.org/officeDocument/2006/relationships/hyperlink" Target="http://10.0.0.50:7778/forms/frmservlet?config=win7_inlias_nontxn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4" sqref="A4:G4"/>
    </sheetView>
  </sheetViews>
  <sheetFormatPr defaultColWidth="9.140625" defaultRowHeight="16.5" customHeight="1"/>
  <cols>
    <col min="1" max="1" width="21.421875" style="421" bestFit="1" customWidth="1"/>
    <col min="2" max="2" width="9.421875" style="421" customWidth="1"/>
    <col min="3" max="6" width="9.140625" style="421" customWidth="1"/>
    <col min="7" max="7" width="15.28125" style="421" customWidth="1"/>
    <col min="8" max="16384" width="9.140625" style="421" customWidth="1"/>
  </cols>
  <sheetData>
    <row r="1" spans="1:7" ht="19.5" customHeight="1">
      <c r="A1" s="558" t="s">
        <v>0</v>
      </c>
      <c r="B1" s="558"/>
      <c r="C1" s="558"/>
      <c r="D1" s="558"/>
      <c r="E1" s="558"/>
      <c r="F1" s="558"/>
      <c r="G1" s="558"/>
    </row>
    <row r="2" spans="1:7" ht="19.5" customHeight="1">
      <c r="A2" s="559" t="s">
        <v>194</v>
      </c>
      <c r="B2" s="559"/>
      <c r="C2" s="559"/>
      <c r="D2" s="559"/>
      <c r="E2" s="559"/>
      <c r="F2" s="559"/>
      <c r="G2" s="559"/>
    </row>
    <row r="3" spans="1:7" ht="19.5" customHeight="1">
      <c r="A3" s="560" t="s">
        <v>237</v>
      </c>
      <c r="B3" s="560"/>
      <c r="C3" s="560"/>
      <c r="D3" s="560"/>
      <c r="E3" s="560"/>
      <c r="F3" s="560"/>
      <c r="G3" s="560"/>
    </row>
    <row r="4" spans="1:7" ht="16.5" customHeight="1">
      <c r="A4" s="561" t="s">
        <v>1</v>
      </c>
      <c r="B4" s="561"/>
      <c r="C4" s="561"/>
      <c r="D4" s="561"/>
      <c r="E4" s="561"/>
      <c r="F4" s="561"/>
      <c r="G4" s="561"/>
    </row>
    <row r="5" spans="1:7" s="423" customFormat="1" ht="16.5" customHeight="1">
      <c r="A5" s="422" t="s">
        <v>2</v>
      </c>
      <c r="B5" s="562" t="s">
        <v>3</v>
      </c>
      <c r="C5" s="562"/>
      <c r="D5" s="562"/>
      <c r="E5" s="562"/>
      <c r="F5" s="562"/>
      <c r="G5" s="562"/>
    </row>
    <row r="6" spans="1:7" ht="16.5" customHeight="1">
      <c r="A6" s="424" t="s">
        <v>4</v>
      </c>
      <c r="B6" s="555" t="s">
        <v>5</v>
      </c>
      <c r="C6" s="555"/>
      <c r="D6" s="555"/>
      <c r="E6" s="555"/>
      <c r="F6" s="555"/>
      <c r="G6" s="555"/>
    </row>
    <row r="7" spans="1:7" ht="16.5" customHeight="1">
      <c r="A7" s="424" t="s">
        <v>6</v>
      </c>
      <c r="B7" s="555" t="s">
        <v>7</v>
      </c>
      <c r="C7" s="555"/>
      <c r="D7" s="555"/>
      <c r="E7" s="555"/>
      <c r="F7" s="555"/>
      <c r="G7" s="555"/>
    </row>
    <row r="8" spans="1:7" ht="16.5" customHeight="1">
      <c r="A8" s="556"/>
      <c r="B8" s="556"/>
      <c r="C8" s="556"/>
      <c r="D8" s="556"/>
      <c r="E8" s="556"/>
      <c r="F8" s="556"/>
      <c r="G8" s="556"/>
    </row>
    <row r="9" spans="1:7" ht="16.5" customHeight="1">
      <c r="A9" s="425"/>
      <c r="B9" s="436">
        <v>0</v>
      </c>
      <c r="C9" s="557" t="s">
        <v>8</v>
      </c>
      <c r="D9" s="557"/>
      <c r="E9" s="557"/>
      <c r="F9" s="557"/>
      <c r="G9" s="557"/>
    </row>
    <row r="10" spans="1:7" ht="16.5" customHeight="1">
      <c r="A10" s="570"/>
      <c r="B10" s="426">
        <v>1</v>
      </c>
      <c r="C10" s="571" t="s">
        <v>9</v>
      </c>
      <c r="D10" s="571"/>
      <c r="E10" s="571"/>
      <c r="F10" s="571"/>
      <c r="G10" s="571"/>
    </row>
    <row r="11" spans="1:7" ht="16.5" customHeight="1">
      <c r="A11" s="570"/>
      <c r="B11" s="427">
        <v>2</v>
      </c>
      <c r="C11" s="564" t="s">
        <v>10</v>
      </c>
      <c r="D11" s="564"/>
      <c r="E11" s="564"/>
      <c r="F11" s="564"/>
      <c r="G11" s="564"/>
    </row>
    <row r="12" spans="1:7" ht="16.5" customHeight="1">
      <c r="A12" s="570"/>
      <c r="B12" s="428">
        <v>3</v>
      </c>
      <c r="C12" s="564" t="s">
        <v>11</v>
      </c>
      <c r="D12" s="564"/>
      <c r="E12" s="564"/>
      <c r="F12" s="564"/>
      <c r="G12" s="564"/>
    </row>
    <row r="13" spans="1:7" ht="16.5" customHeight="1">
      <c r="A13" s="570"/>
      <c r="B13" s="428">
        <v>4</v>
      </c>
      <c r="C13" s="563" t="s">
        <v>12</v>
      </c>
      <c r="D13" s="563"/>
      <c r="E13" s="563"/>
      <c r="F13" s="563"/>
      <c r="G13" s="563"/>
    </row>
    <row r="14" spans="1:7" ht="16.5" customHeight="1">
      <c r="A14" s="570"/>
      <c r="B14" s="428">
        <v>5</v>
      </c>
      <c r="C14" s="564" t="s">
        <v>13</v>
      </c>
      <c r="D14" s="564"/>
      <c r="E14" s="564"/>
      <c r="F14" s="564"/>
      <c r="G14" s="564"/>
    </row>
    <row r="15" spans="1:7" ht="16.5" customHeight="1">
      <c r="A15" s="570"/>
      <c r="B15" s="428">
        <v>6</v>
      </c>
      <c r="C15" s="564" t="s">
        <v>14</v>
      </c>
      <c r="D15" s="564"/>
      <c r="E15" s="564"/>
      <c r="F15" s="564"/>
      <c r="G15" s="564"/>
    </row>
    <row r="16" spans="1:7" ht="16.5" customHeight="1">
      <c r="A16" s="570"/>
      <c r="B16" s="428">
        <v>7</v>
      </c>
      <c r="C16" s="564" t="s">
        <v>15</v>
      </c>
      <c r="D16" s="564"/>
      <c r="E16" s="564"/>
      <c r="F16" s="564"/>
      <c r="G16" s="564"/>
    </row>
    <row r="17" spans="1:7" ht="16.5" customHeight="1">
      <c r="A17" s="570"/>
      <c r="B17" s="428">
        <v>8</v>
      </c>
      <c r="C17" s="564" t="s">
        <v>16</v>
      </c>
      <c r="D17" s="564"/>
      <c r="E17" s="564"/>
      <c r="F17" s="564"/>
      <c r="G17" s="564"/>
    </row>
    <row r="18" spans="1:7" ht="16.5" customHeight="1">
      <c r="A18" s="570"/>
      <c r="B18" s="428">
        <v>9</v>
      </c>
      <c r="C18" s="564" t="s">
        <v>17</v>
      </c>
      <c r="D18" s="564"/>
      <c r="E18" s="564"/>
      <c r="F18" s="564"/>
      <c r="G18" s="564"/>
    </row>
    <row r="19" spans="1:7" ht="16.5" customHeight="1">
      <c r="A19" s="570"/>
      <c r="B19" s="428">
        <v>10</v>
      </c>
      <c r="C19" s="564" t="s">
        <v>18</v>
      </c>
      <c r="D19" s="564"/>
      <c r="E19" s="564"/>
      <c r="F19" s="564"/>
      <c r="G19" s="564"/>
    </row>
    <row r="20" spans="1:7" ht="16.5" customHeight="1">
      <c r="A20" s="570"/>
      <c r="B20" s="427">
        <v>11</v>
      </c>
      <c r="C20" s="564" t="s">
        <v>19</v>
      </c>
      <c r="D20" s="564"/>
      <c r="E20" s="564"/>
      <c r="F20" s="564"/>
      <c r="G20" s="564"/>
    </row>
    <row r="21" spans="1:7" s="429" customFormat="1" ht="39.75" customHeight="1">
      <c r="A21" s="446" t="s">
        <v>210</v>
      </c>
      <c r="B21" s="430">
        <v>0.18</v>
      </c>
      <c r="C21" s="565" t="s">
        <v>205</v>
      </c>
      <c r="D21" s="566"/>
      <c r="E21" s="566"/>
      <c r="F21" s="566"/>
      <c r="G21" s="567"/>
    </row>
    <row r="22" spans="1:7" ht="16.5" customHeight="1">
      <c r="A22" s="572" t="s">
        <v>20</v>
      </c>
      <c r="B22" s="572"/>
      <c r="C22" s="572"/>
      <c r="D22" s="572"/>
      <c r="E22" s="572"/>
      <c r="F22" s="572"/>
      <c r="G22" s="572"/>
    </row>
    <row r="23" spans="1:7" ht="16.5" customHeight="1">
      <c r="A23" s="573" t="s">
        <v>195</v>
      </c>
      <c r="B23" s="573"/>
      <c r="C23" s="573"/>
      <c r="D23" s="573"/>
      <c r="E23" s="573"/>
      <c r="F23" s="573"/>
      <c r="G23" s="573"/>
    </row>
    <row r="24" spans="1:7" ht="16.5" customHeight="1">
      <c r="A24" s="573" t="s">
        <v>21</v>
      </c>
      <c r="B24" s="573"/>
      <c r="C24" s="573"/>
      <c r="D24" s="573"/>
      <c r="E24" s="573"/>
      <c r="F24" s="573"/>
      <c r="G24" s="573"/>
    </row>
    <row r="25" spans="1:7" ht="16.5" customHeight="1">
      <c r="A25" s="573" t="s">
        <v>196</v>
      </c>
      <c r="B25" s="573"/>
      <c r="C25" s="573"/>
      <c r="D25" s="573"/>
      <c r="E25" s="573"/>
      <c r="F25" s="573"/>
      <c r="G25" s="573"/>
    </row>
    <row r="26" spans="1:7" ht="16.5" customHeight="1">
      <c r="A26" s="573" t="s">
        <v>203</v>
      </c>
      <c r="B26" s="568"/>
      <c r="C26" s="568"/>
      <c r="D26" s="568"/>
      <c r="E26" s="568"/>
      <c r="F26" s="568"/>
      <c r="G26" s="568"/>
    </row>
    <row r="27" spans="1:7" ht="16.5" customHeight="1">
      <c r="A27" s="573" t="s">
        <v>204</v>
      </c>
      <c r="B27" s="568"/>
      <c r="C27" s="568"/>
      <c r="D27" s="568"/>
      <c r="E27" s="568"/>
      <c r="F27" s="568"/>
      <c r="G27" s="568"/>
    </row>
    <row r="28" spans="1:7" ht="16.5" customHeight="1">
      <c r="A28" s="568" t="s">
        <v>22</v>
      </c>
      <c r="B28" s="568"/>
      <c r="C28" s="568"/>
      <c r="D28" s="568"/>
      <c r="E28" s="568"/>
      <c r="F28" s="568"/>
      <c r="G28" s="568"/>
    </row>
    <row r="29" spans="1:7" ht="16.5" customHeight="1">
      <c r="A29" s="574" t="s">
        <v>206</v>
      </c>
      <c r="B29" s="575"/>
      <c r="C29" s="575"/>
      <c r="D29" s="575"/>
      <c r="E29" s="575"/>
      <c r="F29" s="575"/>
      <c r="G29" s="576"/>
    </row>
    <row r="30" spans="1:7" ht="16.5" customHeight="1">
      <c r="A30" s="568" t="s">
        <v>23</v>
      </c>
      <c r="B30" s="568"/>
      <c r="C30" s="568"/>
      <c r="D30" s="568"/>
      <c r="E30" s="568"/>
      <c r="F30" s="568"/>
      <c r="G30" s="568"/>
    </row>
    <row r="31" spans="1:7" ht="16.5" customHeight="1">
      <c r="A31" s="569" t="s">
        <v>213</v>
      </c>
      <c r="B31" s="569"/>
      <c r="C31" s="569"/>
      <c r="D31" s="569"/>
      <c r="E31" s="569"/>
      <c r="F31" s="569"/>
      <c r="G31" s="569"/>
    </row>
    <row r="32" spans="1:7" ht="16.5" customHeight="1">
      <c r="A32" s="569" t="s">
        <v>24</v>
      </c>
      <c r="B32" s="569"/>
      <c r="C32" s="569"/>
      <c r="D32" s="569"/>
      <c r="E32" s="569"/>
      <c r="F32" s="569"/>
      <c r="G32" s="569"/>
    </row>
    <row r="33" spans="1:7" ht="16.5" customHeight="1">
      <c r="A33" s="569" t="s">
        <v>212</v>
      </c>
      <c r="B33" s="569"/>
      <c r="C33" s="569"/>
      <c r="D33" s="569"/>
      <c r="E33" s="569"/>
      <c r="F33" s="569"/>
      <c r="G33" s="569"/>
    </row>
  </sheetData>
  <sheetProtection/>
  <mergeCells count="34">
    <mergeCell ref="A33:G33"/>
    <mergeCell ref="A22:G22"/>
    <mergeCell ref="A23:G23"/>
    <mergeCell ref="A24:G24"/>
    <mergeCell ref="A26:G26"/>
    <mergeCell ref="A28:G28"/>
    <mergeCell ref="A25:G25"/>
    <mergeCell ref="A27:G27"/>
    <mergeCell ref="A29:G29"/>
    <mergeCell ref="C19:G19"/>
    <mergeCell ref="C20:G20"/>
    <mergeCell ref="C21:G21"/>
    <mergeCell ref="A30:G30"/>
    <mergeCell ref="A31:G31"/>
    <mergeCell ref="A32:G32"/>
    <mergeCell ref="A10:A20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B7:G7"/>
    <mergeCell ref="A8:G8"/>
    <mergeCell ref="C9:G9"/>
    <mergeCell ref="A1:G1"/>
    <mergeCell ref="A2:G2"/>
    <mergeCell ref="A3:G3"/>
    <mergeCell ref="A4:G4"/>
    <mergeCell ref="B5:G5"/>
    <mergeCell ref="B6:G6"/>
  </mergeCells>
  <hyperlinks>
    <hyperlink ref="C9" location="NCB!A1" display="NCB RECOVERY"/>
    <hyperlink ref="C10" location="2 Wheeler!A1" display="2 WHEELER "/>
    <hyperlink ref="C11" location="PVT!CAR.A1" display="PRIVATE CAR"/>
    <hyperlink ref="C12" location="GCCV_PUBLIC!A1" display="GCCV PUBLIC CARRIER"/>
    <hyperlink ref="C13" location="GCCV_PRIVATE!A1" display="GCCV PRIVATE CARRIER"/>
    <hyperlink ref="C14" location="GCCV 3W Public!A1" display="GCCV 3W PUBLIC CARRIER"/>
    <hyperlink ref="C15" location="GCCV 3W Private!A1" display="GCCV 3W PRIVATE CARRIER"/>
    <hyperlink ref="C16" location="PCCV 3W up to 6 P!A1" display="PCCV 3W UP TO 6 PASSENGER"/>
    <hyperlink ref="C17" location="PCCV 4W Up To 6 P!A1" display="PCCV  4 W UP TO 6 PASSENGER"/>
    <hyperlink ref="C18" location="PCCV 3W 7 TO 18 P!A1" display="PCCV  3 W 7 TO 18  PASSENGER"/>
    <hyperlink ref="C19" location="PCCV Maxi &amp; Bus!A1" display="PCCV MAXI AND LUXARY BUS"/>
    <hyperlink ref="C20" location="Misc  Class D!A1" display="MISC CLASS - D VEHICLES"/>
    <hyperlink ref="A23" r:id="rId1" display="https://mail.orientalinsurance.co.in/owa"/>
    <hyperlink ref="A24" r:id="rId2" display="http://www.orientalinsurance.org.in"/>
    <hyperlink ref="A26" r:id="rId3" display="http://10.244.0.50:7778/forms/frmservlet?Config=inliaslive "/>
    <hyperlink ref="A28" r:id="rId4" display="http://10.0.0.50:7778/forms/frmservlet?config=inlias_nontxn"/>
    <hyperlink ref="A30" r:id="rId5" display="http://www.irdaonline.org/Index.htm"/>
    <hyperlink ref="C10:G10" location="'2 Wheeler'!Print_Area" display="2 WHEELER "/>
    <hyperlink ref="C11:G11" location="Pvt.Car!A1" display="PRIVATE CAR"/>
    <hyperlink ref="C20:G20" location="'Misc  Class D'!Print_Area" display="MISC CLASS - D VEHICLES"/>
    <hyperlink ref="C19:G19" location="'PCCV Maxi &amp; Bus'!Print_Area" display="PCCV MAXI AND LUXARY BUS"/>
    <hyperlink ref="C14:G14" location="'GCCV 3W Public'!Print_Area" display="GCCV 3W PUBLIC CARRIER"/>
    <hyperlink ref="C15:G15" location="'GCCV 3W Private'!Print_Area" display="GCCV 3W PRIVATE CARRIER"/>
    <hyperlink ref="C16:G16" location="'PCCV 3W up to 6 P'!Print_Area" display="PCCV 3W UP TO 6 PASSENGER"/>
    <hyperlink ref="C17:G17" location="'PCCV 4W Up To 6 P'!A1" display="PCCV  4 W UP TO 6 PASSENGER"/>
    <hyperlink ref="C18:G18" location="'PCCV 3W 7 TO 18 P'!A1" display="PCCV  3 W 7 TO 18  PASSENGER"/>
    <hyperlink ref="A25" r:id="rId6" display="http://10.244.0.120:8011/psp/HRSPROD"/>
    <hyperlink ref="A27" r:id="rId7" display="http://10.244.0.50:7778/forms/frmservlet?Config=win7_inlias"/>
    <hyperlink ref="A29" r:id="rId8" display="http://10.0.0.50:7778/forms/frmservlet?config=win7_inlias_nontxn"/>
  </hyperlinks>
  <printOptions/>
  <pageMargins left="0.7" right="0.7" top="0.75" bottom="0.75" header="0.5118055555555555" footer="0.5118055555555555"/>
  <pageSetup horizontalDpi="300" verticalDpi="300" orientation="portrait" paperSize="9" r:id="rId10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2">
      <selection activeCell="G14" sqref="G14"/>
    </sheetView>
  </sheetViews>
  <sheetFormatPr defaultColWidth="9.140625" defaultRowHeight="16.5" customHeight="1"/>
  <cols>
    <col min="1" max="1" width="30.7109375" style="98" customWidth="1"/>
    <col min="2" max="2" width="7.140625" style="98" customWidth="1"/>
    <col min="3" max="3" width="10.7109375" style="98" customWidth="1"/>
    <col min="4" max="4" width="3.140625" style="98" customWidth="1"/>
    <col min="5" max="5" width="25.28125" style="98" customWidth="1"/>
    <col min="6" max="6" width="8.57421875" style="98" customWidth="1"/>
    <col min="7" max="7" width="10.7109375" style="98" customWidth="1"/>
    <col min="8" max="8" width="2.8515625" style="97" customWidth="1"/>
    <col min="9" max="9" width="4.28125" style="98" customWidth="1"/>
    <col min="10" max="10" width="5.00390625" style="98" customWidth="1"/>
    <col min="11" max="11" width="8.421875" style="98" customWidth="1"/>
    <col min="12" max="12" width="6.7109375" style="98" customWidth="1"/>
    <col min="13" max="13" width="36.7109375" style="99" customWidth="1"/>
    <col min="14" max="15" width="7.00390625" style="98" bestFit="1" customWidth="1"/>
    <col min="16" max="16384" width="9.140625" style="98" customWidth="1"/>
  </cols>
  <sheetData>
    <row r="1" spans="1:15" s="95" customFormat="1" ht="16.5" customHeight="1">
      <c r="A1" s="661" t="s">
        <v>0</v>
      </c>
      <c r="B1" s="661"/>
      <c r="C1" s="661"/>
      <c r="D1" s="661"/>
      <c r="E1" s="661"/>
      <c r="F1" s="661"/>
      <c r="G1" s="661"/>
      <c r="H1" s="94"/>
      <c r="O1" s="96"/>
    </row>
    <row r="2" spans="1:15" ht="16.5" customHeight="1">
      <c r="A2" s="620" t="s">
        <v>225</v>
      </c>
      <c r="B2" s="620"/>
      <c r="C2" s="620" t="s">
        <v>119</v>
      </c>
      <c r="D2" s="620"/>
      <c r="E2" s="620"/>
      <c r="F2" s="620"/>
      <c r="G2" s="620"/>
      <c r="I2" s="662" t="s">
        <v>27</v>
      </c>
      <c r="J2" s="662"/>
      <c r="N2" s="100"/>
      <c r="O2" s="101"/>
    </row>
    <row r="3" spans="1:10" ht="16.5" customHeight="1">
      <c r="A3" s="522" t="s">
        <v>235</v>
      </c>
      <c r="B3" s="616"/>
      <c r="C3" s="617"/>
      <c r="D3" s="617"/>
      <c r="E3" s="617"/>
      <c r="F3" s="617"/>
      <c r="G3" s="618"/>
      <c r="I3" s="662"/>
      <c r="J3" s="662"/>
    </row>
    <row r="4" spans="1:7" ht="16.5" customHeight="1">
      <c r="A4" s="522" t="s">
        <v>234</v>
      </c>
      <c r="B4" s="616"/>
      <c r="C4" s="617"/>
      <c r="D4" s="617"/>
      <c r="E4" s="617"/>
      <c r="F4" s="617"/>
      <c r="G4" s="618"/>
    </row>
    <row r="5" spans="1:7" ht="16.5" customHeight="1">
      <c r="A5" s="612" t="s">
        <v>76</v>
      </c>
      <c r="B5" s="612"/>
      <c r="C5" s="612"/>
      <c r="D5" s="612"/>
      <c r="E5" s="612"/>
      <c r="F5" s="612"/>
      <c r="G5" s="612"/>
    </row>
    <row r="6" spans="1:7" ht="16.5" customHeight="1">
      <c r="A6" s="586" t="s">
        <v>134</v>
      </c>
      <c r="B6" s="586"/>
      <c r="C6" s="180">
        <v>100000</v>
      </c>
      <c r="D6" s="586"/>
      <c r="E6" s="586" t="s">
        <v>80</v>
      </c>
      <c r="F6" s="586"/>
      <c r="G6" s="181">
        <v>2011</v>
      </c>
    </row>
    <row r="7" spans="1:9" ht="16.5" customHeight="1">
      <c r="A7" s="586" t="s">
        <v>87</v>
      </c>
      <c r="B7" s="586"/>
      <c r="C7" s="180">
        <v>0</v>
      </c>
      <c r="D7" s="586"/>
      <c r="E7" s="586" t="s">
        <v>135</v>
      </c>
      <c r="F7" s="586"/>
      <c r="G7" s="181">
        <v>12000</v>
      </c>
      <c r="I7" s="102"/>
    </row>
    <row r="8" spans="1:13" s="104" customFormat="1" ht="16.5" customHeight="1">
      <c r="A8" s="586" t="s">
        <v>137</v>
      </c>
      <c r="B8" s="586"/>
      <c r="C8" s="180">
        <v>0</v>
      </c>
      <c r="D8" s="586"/>
      <c r="E8" s="663" t="s">
        <v>40</v>
      </c>
      <c r="F8" s="663"/>
      <c r="G8" s="182" t="s">
        <v>91</v>
      </c>
      <c r="H8" s="103"/>
      <c r="M8" s="105"/>
    </row>
    <row r="9" spans="1:16" ht="16.5" customHeight="1">
      <c r="A9" s="663" t="s">
        <v>138</v>
      </c>
      <c r="B9" s="663"/>
      <c r="C9" s="663"/>
      <c r="D9" s="663"/>
      <c r="E9" s="663"/>
      <c r="F9" s="663"/>
      <c r="G9" s="663"/>
      <c r="N9" s="104"/>
      <c r="O9" s="104"/>
      <c r="P9" s="104"/>
    </row>
    <row r="10" spans="1:15" ht="16.5" customHeight="1">
      <c r="A10" s="612" t="s">
        <v>83</v>
      </c>
      <c r="B10" s="612"/>
      <c r="C10" s="612"/>
      <c r="D10" s="600"/>
      <c r="E10" s="612" t="s">
        <v>84</v>
      </c>
      <c r="F10" s="612"/>
      <c r="G10" s="612"/>
      <c r="N10" s="104"/>
      <c r="O10" s="104"/>
    </row>
    <row r="11" spans="1:15" ht="16.5" customHeight="1">
      <c r="A11" s="153" t="s">
        <v>139</v>
      </c>
      <c r="B11" s="183"/>
      <c r="C11" s="162">
        <f>Database!$J$16</f>
        <v>1239</v>
      </c>
      <c r="D11" s="600"/>
      <c r="E11" s="586"/>
      <c r="F11" s="586"/>
      <c r="G11" s="586"/>
      <c r="N11" s="104"/>
      <c r="O11" s="104"/>
    </row>
    <row r="12" spans="1:15" ht="16.5" customHeight="1">
      <c r="A12" s="153" t="s">
        <v>87</v>
      </c>
      <c r="B12" s="183"/>
      <c r="C12" s="162">
        <f>C7*0.04</f>
        <v>0</v>
      </c>
      <c r="D12" s="600"/>
      <c r="E12" s="586" t="s">
        <v>46</v>
      </c>
      <c r="F12" s="586"/>
      <c r="G12" s="162">
        <f>Database!M11</f>
        <v>15620</v>
      </c>
      <c r="N12" s="104"/>
      <c r="O12" s="104"/>
    </row>
    <row r="13" spans="1:16" s="104" customFormat="1" ht="16.5" customHeight="1">
      <c r="A13" s="153" t="s">
        <v>141</v>
      </c>
      <c r="B13" s="183"/>
      <c r="C13" s="162">
        <f>Database!$J$17</f>
        <v>0</v>
      </c>
      <c r="D13" s="600"/>
      <c r="E13" s="156" t="s">
        <v>125</v>
      </c>
      <c r="F13" s="157" t="s">
        <v>88</v>
      </c>
      <c r="G13" s="158">
        <f>IF(F13="Yes",750,0)</f>
        <v>750</v>
      </c>
      <c r="H13" s="103"/>
      <c r="J13" s="98"/>
      <c r="K13" s="98"/>
      <c r="L13" s="98"/>
      <c r="M13" s="99"/>
      <c r="P13" s="106"/>
    </row>
    <row r="14" spans="1:16" ht="16.5" customHeight="1">
      <c r="A14" s="153" t="s">
        <v>142</v>
      </c>
      <c r="B14" s="183"/>
      <c r="C14" s="162">
        <f>IF(C8&gt;0,C8*0.04,0)</f>
        <v>0</v>
      </c>
      <c r="D14" s="600"/>
      <c r="E14" s="586" t="s">
        <v>142</v>
      </c>
      <c r="F14" s="586"/>
      <c r="G14" s="162">
        <f>IF(C8&gt;0,60,0)</f>
        <v>0</v>
      </c>
      <c r="N14" s="104"/>
      <c r="O14" s="104"/>
      <c r="P14" s="106"/>
    </row>
    <row r="15" spans="1:16" ht="16.5" customHeight="1">
      <c r="A15" s="612" t="s">
        <v>92</v>
      </c>
      <c r="B15" s="612"/>
      <c r="C15" s="184">
        <f>C11+C12+C13+C14</f>
        <v>1239</v>
      </c>
      <c r="D15" s="600"/>
      <c r="E15" s="612" t="s">
        <v>143</v>
      </c>
      <c r="F15" s="612"/>
      <c r="G15" s="184">
        <f>SUM(G12:G13)</f>
        <v>16370</v>
      </c>
      <c r="N15" s="104"/>
      <c r="O15" s="104"/>
      <c r="P15" s="106"/>
    </row>
    <row r="16" spans="1:16" ht="16.5" customHeight="1">
      <c r="A16" s="153" t="s">
        <v>144</v>
      </c>
      <c r="B16" s="182" t="s">
        <v>35</v>
      </c>
      <c r="C16" s="162">
        <f>IF(B16="Yes",(SUM(C11:C13)+C14)*0.15,0)</f>
        <v>0</v>
      </c>
      <c r="D16" s="600"/>
      <c r="E16" s="153" t="s">
        <v>126</v>
      </c>
      <c r="F16" s="182" t="s">
        <v>88</v>
      </c>
      <c r="G16" s="162">
        <f>IF(F16="Yes",50*F17,0)</f>
        <v>250</v>
      </c>
      <c r="N16" s="104"/>
      <c r="O16" s="104"/>
      <c r="P16" s="106"/>
    </row>
    <row r="17" spans="1:15" ht="16.5" customHeight="1">
      <c r="A17" s="153" t="s">
        <v>95</v>
      </c>
      <c r="B17" s="152" t="s">
        <v>35</v>
      </c>
      <c r="C17" s="162">
        <f>C6*A44/10</f>
        <v>0</v>
      </c>
      <c r="D17" s="600"/>
      <c r="E17" s="153" t="s">
        <v>154</v>
      </c>
      <c r="F17" s="182">
        <v>5</v>
      </c>
      <c r="G17" s="162"/>
      <c r="N17" s="104"/>
      <c r="O17" s="104"/>
    </row>
    <row r="18" spans="1:16" ht="16.5" customHeight="1">
      <c r="A18" s="153" t="s">
        <v>146</v>
      </c>
      <c r="B18" s="163">
        <v>0.35</v>
      </c>
      <c r="C18" s="162">
        <f>(C15)*B18</f>
        <v>433.65</v>
      </c>
      <c r="D18" s="600"/>
      <c r="E18" s="186" t="s">
        <v>147</v>
      </c>
      <c r="F18" s="182" t="s">
        <v>88</v>
      </c>
      <c r="G18" s="162">
        <f>IF(F18="Yes",75*F19,0)</f>
        <v>0</v>
      </c>
      <c r="N18" s="104"/>
      <c r="O18" s="104"/>
      <c r="P18" s="106"/>
    </row>
    <row r="19" spans="1:16" s="104" customFormat="1" ht="16.5" customHeight="1">
      <c r="A19" s="153" t="s">
        <v>130</v>
      </c>
      <c r="B19" s="182" t="s">
        <v>35</v>
      </c>
      <c r="C19" s="162">
        <f>IF(B19="Yes",C15*0.6,0)</f>
        <v>0</v>
      </c>
      <c r="D19" s="600"/>
      <c r="E19" s="153" t="s">
        <v>155</v>
      </c>
      <c r="F19" s="182">
        <v>0</v>
      </c>
      <c r="G19" s="162"/>
      <c r="H19" s="103"/>
      <c r="J19" s="98"/>
      <c r="K19" s="98"/>
      <c r="L19" s="98"/>
      <c r="M19" s="99"/>
      <c r="P19" s="107"/>
    </row>
    <row r="20" spans="1:15" ht="16.5" customHeight="1">
      <c r="A20" s="153" t="s">
        <v>96</v>
      </c>
      <c r="B20" s="182" t="s">
        <v>35</v>
      </c>
      <c r="C20" s="162">
        <f>IF(B20="Yes",400,0)</f>
        <v>0</v>
      </c>
      <c r="D20" s="600"/>
      <c r="E20" s="187" t="s">
        <v>96</v>
      </c>
      <c r="F20" s="187"/>
      <c r="G20" s="188">
        <f>IF(B20="yes",500,0)</f>
        <v>0</v>
      </c>
      <c r="N20" s="104"/>
      <c r="O20" s="104"/>
    </row>
    <row r="21" spans="1:15" ht="16.5" customHeight="1">
      <c r="A21" s="612" t="s">
        <v>131</v>
      </c>
      <c r="B21" s="612"/>
      <c r="C21" s="184">
        <f>SUM(C15:C20)</f>
        <v>1672.65</v>
      </c>
      <c r="D21" s="600"/>
      <c r="E21" s="612" t="s">
        <v>149</v>
      </c>
      <c r="F21" s="612"/>
      <c r="G21" s="184">
        <f>SUM(G15,G16,G18,G20)</f>
        <v>16620</v>
      </c>
      <c r="N21" s="104"/>
      <c r="O21" s="104"/>
    </row>
    <row r="22" spans="1:15" ht="16.5" customHeight="1">
      <c r="A22" s="187" t="s">
        <v>150</v>
      </c>
      <c r="B22" s="189"/>
      <c r="C22" s="188"/>
      <c r="D22" s="600"/>
      <c r="E22" s="153" t="s">
        <v>68</v>
      </c>
      <c r="F22" s="182">
        <v>750000</v>
      </c>
      <c r="G22" s="162">
        <f>IF(F22=750000,0,200)</f>
        <v>0</v>
      </c>
      <c r="O22" s="104"/>
    </row>
    <row r="23" spans="1:7" ht="16.5" customHeight="1">
      <c r="A23" s="153" t="s">
        <v>67</v>
      </c>
      <c r="B23" s="182" t="s">
        <v>35</v>
      </c>
      <c r="C23" s="162">
        <f>IF(B23="Yes",MIN(C21*0.025,500),0)</f>
        <v>0</v>
      </c>
      <c r="D23" s="600"/>
      <c r="E23" s="153"/>
      <c r="F23" s="183"/>
      <c r="G23" s="162"/>
    </row>
    <row r="24" spans="1:7" ht="16.5" customHeight="1">
      <c r="A24" s="153" t="s">
        <v>62</v>
      </c>
      <c r="B24" s="182" t="s">
        <v>35</v>
      </c>
      <c r="C24" s="162">
        <f>IF(B24="Yes",MIN(C21*0.05,200),0)</f>
        <v>0</v>
      </c>
      <c r="D24" s="600"/>
      <c r="E24" s="153"/>
      <c r="F24" s="183"/>
      <c r="G24" s="162"/>
    </row>
    <row r="25" spans="1:7" ht="16.5" customHeight="1">
      <c r="A25" s="153" t="s">
        <v>133</v>
      </c>
      <c r="B25" s="182" t="s">
        <v>35</v>
      </c>
      <c r="C25" s="162">
        <f>IF(B25="Yes",C21*(1/3),0)</f>
        <v>0</v>
      </c>
      <c r="D25" s="600"/>
      <c r="E25" s="153"/>
      <c r="F25" s="183"/>
      <c r="G25" s="162"/>
    </row>
    <row r="26" spans="1:7" ht="16.5" customHeight="1">
      <c r="A26" s="612" t="s">
        <v>151</v>
      </c>
      <c r="B26" s="612"/>
      <c r="C26" s="188">
        <f>C21-SUM(C23:C25)</f>
        <v>1672.65</v>
      </c>
      <c r="D26" s="600"/>
      <c r="E26" s="190"/>
      <c r="F26" s="189"/>
      <c r="G26" s="188"/>
    </row>
    <row r="27" spans="1:7" ht="16.5" customHeight="1">
      <c r="A27" s="153" t="s">
        <v>73</v>
      </c>
      <c r="B27" s="191">
        <v>0</v>
      </c>
      <c r="C27" s="155">
        <f>(C15+C16+C18-C28-C29)*B27</f>
        <v>0</v>
      </c>
      <c r="D27" s="600"/>
      <c r="E27" s="190"/>
      <c r="F27" s="183"/>
      <c r="G27" s="162"/>
    </row>
    <row r="28" spans="1:7" ht="16.5" customHeight="1">
      <c r="A28" s="153" t="s">
        <v>108</v>
      </c>
      <c r="B28" s="192">
        <v>0</v>
      </c>
      <c r="C28" s="171">
        <f>(C15+C16)*B28</f>
        <v>0</v>
      </c>
      <c r="D28" s="600"/>
      <c r="E28" s="153"/>
      <c r="F28" s="183"/>
      <c r="G28" s="162"/>
    </row>
    <row r="29" spans="1:7" ht="16.5" customHeight="1">
      <c r="A29" s="153" t="s">
        <v>197</v>
      </c>
      <c r="B29" s="163">
        <v>0.1</v>
      </c>
      <c r="C29" s="171">
        <f>C18*B29</f>
        <v>43.365</v>
      </c>
      <c r="D29" s="600"/>
      <c r="E29" s="153"/>
      <c r="F29" s="183"/>
      <c r="G29" s="162"/>
    </row>
    <row r="30" spans="1:7" ht="16.5" customHeight="1">
      <c r="A30" s="612" t="s">
        <v>109</v>
      </c>
      <c r="B30" s="612"/>
      <c r="C30" s="193">
        <f>C26-C27-C28-C29</f>
        <v>1629.285</v>
      </c>
      <c r="D30" s="600"/>
      <c r="E30" s="612" t="s">
        <v>110</v>
      </c>
      <c r="F30" s="612"/>
      <c r="G30" s="188">
        <f>G21-G22+G28</f>
        <v>16620</v>
      </c>
    </row>
    <row r="31" spans="1:7" ht="16.5" customHeight="1">
      <c r="A31" s="108"/>
      <c r="B31" s="109"/>
      <c r="C31" s="110"/>
      <c r="D31" s="110"/>
      <c r="E31" s="111"/>
      <c r="F31" s="110"/>
      <c r="G31" s="112"/>
    </row>
    <row r="32" spans="1:7" ht="16.5" customHeight="1">
      <c r="A32" s="598" t="s">
        <v>202</v>
      </c>
      <c r="B32" s="434"/>
      <c r="C32" s="194"/>
      <c r="D32" s="194"/>
      <c r="E32" s="195" t="s">
        <v>111</v>
      </c>
      <c r="F32" s="174" t="s">
        <v>112</v>
      </c>
      <c r="G32" s="175" t="s">
        <v>36</v>
      </c>
    </row>
    <row r="33" spans="1:7" ht="16.5" customHeight="1">
      <c r="A33" s="598"/>
      <c r="B33" s="594" t="s">
        <v>113</v>
      </c>
      <c r="C33" s="595"/>
      <c r="D33" s="595"/>
      <c r="E33" s="176">
        <f>C30</f>
        <v>1629.285</v>
      </c>
      <c r="F33" s="162">
        <f>G30</f>
        <v>16620</v>
      </c>
      <c r="G33" s="177">
        <f>E33+F33</f>
        <v>18249.285</v>
      </c>
    </row>
    <row r="34" spans="1:7" ht="16.5" customHeight="1">
      <c r="A34" s="598"/>
      <c r="B34" s="655" t="s">
        <v>209</v>
      </c>
      <c r="C34" s="656"/>
      <c r="D34" s="656"/>
      <c r="E34" s="178">
        <f>E33*HyperLink!B21</f>
        <v>293.2713</v>
      </c>
      <c r="F34" s="178">
        <f>F33*HyperLink!B21</f>
        <v>2991.6</v>
      </c>
      <c r="G34" s="178">
        <f>G33*HyperLink!B21</f>
        <v>3284.8713</v>
      </c>
    </row>
    <row r="35" spans="1:11" ht="16.5" customHeight="1">
      <c r="A35" s="598"/>
      <c r="B35" s="664" t="s">
        <v>152</v>
      </c>
      <c r="C35" s="665"/>
      <c r="D35" s="665"/>
      <c r="E35" s="196">
        <f>SUM(E33:E34)</f>
        <v>1922.5563000000002</v>
      </c>
      <c r="F35" s="196">
        <f>SUM(F33:F34)</f>
        <v>19611.6</v>
      </c>
      <c r="G35" s="197">
        <f>SUM(G33:G34)</f>
        <v>21534.1563</v>
      </c>
      <c r="I35" s="97"/>
      <c r="J35" s="97"/>
      <c r="K35" s="97"/>
    </row>
    <row r="36" spans="1:7" ht="16.5" customHeight="1">
      <c r="A36" s="97"/>
      <c r="B36" s="97"/>
      <c r="C36" s="97"/>
      <c r="D36" s="97"/>
      <c r="E36" s="97"/>
      <c r="F36" s="97"/>
      <c r="G36" s="113"/>
    </row>
    <row r="37" spans="1:7" ht="16.5" customHeight="1">
      <c r="A37" s="97"/>
      <c r="B37" s="97"/>
      <c r="C37" s="97"/>
      <c r="D37" s="97"/>
      <c r="E37" s="97"/>
      <c r="F37" s="97"/>
      <c r="G37" s="97"/>
    </row>
    <row r="41" spans="1:13" s="95" customFormat="1" ht="16.5" customHeight="1" hidden="1">
      <c r="A41" s="98"/>
      <c r="B41" s="98"/>
      <c r="C41" s="98"/>
      <c r="D41" s="98"/>
      <c r="E41" s="98"/>
      <c r="F41" s="98"/>
      <c r="G41" s="98"/>
      <c r="M41" s="96"/>
    </row>
    <row r="42" spans="1:13" s="95" customFormat="1" ht="16.5" customHeight="1" hidden="1">
      <c r="A42" s="98"/>
      <c r="B42" s="98"/>
      <c r="C42" s="98"/>
      <c r="D42" s="98"/>
      <c r="E42" s="98"/>
      <c r="F42" s="98"/>
      <c r="G42" s="98"/>
      <c r="M42" s="96"/>
    </row>
    <row r="43" spans="1:7" ht="16.5" customHeight="1">
      <c r="A43" s="91" t="s">
        <v>54</v>
      </c>
      <c r="B43" s="91" t="s">
        <v>119</v>
      </c>
      <c r="C43" s="95"/>
      <c r="D43" s="95"/>
      <c r="E43" s="95"/>
      <c r="F43" s="95"/>
      <c r="G43" s="95"/>
    </row>
    <row r="44" spans="1:7" ht="16.5" customHeight="1">
      <c r="A44" s="91" t="b">
        <f>IF(B17="Yes",IF(B44=0,4.5%,IF(B44=1,5.5%,IF(B44=2,7%,0))))</f>
        <v>0</v>
      </c>
      <c r="B44" s="93">
        <f ca="1">YEAR(TODAY())-(G6)</f>
        <v>7</v>
      </c>
      <c r="C44" s="95"/>
      <c r="D44" s="95"/>
      <c r="E44" s="95"/>
      <c r="F44" s="95"/>
      <c r="G44" s="95"/>
    </row>
  </sheetData>
  <sheetProtection password="CEED" sheet="1"/>
  <mergeCells count="31">
    <mergeCell ref="B34:D34"/>
    <mergeCell ref="B35:D35"/>
    <mergeCell ref="A21:B21"/>
    <mergeCell ref="E21:F21"/>
    <mergeCell ref="A26:B26"/>
    <mergeCell ref="A30:B30"/>
    <mergeCell ref="E30:F30"/>
    <mergeCell ref="B33:D33"/>
    <mergeCell ref="A32:A35"/>
    <mergeCell ref="A9:G9"/>
    <mergeCell ref="A10:C10"/>
    <mergeCell ref="D10:D30"/>
    <mergeCell ref="E10:G10"/>
    <mergeCell ref="E11:G11"/>
    <mergeCell ref="E12:F12"/>
    <mergeCell ref="E14:F14"/>
    <mergeCell ref="A15:B15"/>
    <mergeCell ref="E15:F15"/>
    <mergeCell ref="A6:B6"/>
    <mergeCell ref="D6:D8"/>
    <mergeCell ref="E6:F6"/>
    <mergeCell ref="A7:B7"/>
    <mergeCell ref="E7:F7"/>
    <mergeCell ref="A8:B8"/>
    <mergeCell ref="E8:F8"/>
    <mergeCell ref="B3:G3"/>
    <mergeCell ref="B4:G4"/>
    <mergeCell ref="A1:G1"/>
    <mergeCell ref="A2:G2"/>
    <mergeCell ref="I2:J3"/>
    <mergeCell ref="A5:G5"/>
  </mergeCells>
  <dataValidations count="6">
    <dataValidation allowBlank="1" showErrorMessage="1" sqref="B28:B29">
      <formula1>0</formula1>
      <formula2>0</formula2>
    </dataValidation>
    <dataValidation type="list" allowBlank="1" showErrorMessage="1" sqref="F13 B23:B25 B19:B20 F18 F16 B16:B17">
      <formula1>"Yes,No"</formula1>
      <formula2>0</formula2>
    </dataValidation>
    <dataValidation type="list" allowBlank="1" showErrorMessage="1" sqref="B27">
      <formula1>"0%,20%,25%,35%,45%,50%,55%,65%"</formula1>
      <formula2>0</formula2>
    </dataValidation>
    <dataValidation type="list" allowBlank="1" showErrorMessage="1" sqref="F22">
      <formula1>"750000,6000"</formula1>
      <formula2>0</formula2>
    </dataValidation>
    <dataValidation type="list" allowBlank="1" showErrorMessage="1" sqref="G8">
      <formula1>"A,B,C"</formula1>
      <formula2>0</formula2>
    </dataValidation>
    <dataValidation type="list" allowBlank="1" showErrorMessage="1" sqref="B18">
      <formula1>"0%,15%,25%,35%,"</formula1>
    </dataValidation>
  </dataValidations>
  <hyperlinks>
    <hyperlink ref="I2" location="HyperLink!A1" display="BACK"/>
  </hyperlinks>
  <printOptions/>
  <pageMargins left="0.5097222222222222" right="0.2" top="0.9840277777777777" bottom="0.9840277777777777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5"/>
  <sheetViews>
    <sheetView zoomScale="85" zoomScaleNormal="85" zoomScalePageLayoutView="0" workbookViewId="0" topLeftCell="A1">
      <selection activeCell="G18" sqref="G18"/>
    </sheetView>
  </sheetViews>
  <sheetFormatPr defaultColWidth="9.140625" defaultRowHeight="15.75" customHeight="1"/>
  <cols>
    <col min="1" max="1" width="31.28125" style="66" customWidth="1"/>
    <col min="2" max="2" width="6.57421875" style="66" customWidth="1"/>
    <col min="3" max="3" width="10.140625" style="66" customWidth="1"/>
    <col min="4" max="4" width="2.57421875" style="66" customWidth="1"/>
    <col min="5" max="5" width="23.00390625" style="66" customWidth="1"/>
    <col min="6" max="6" width="10.8515625" style="66" customWidth="1"/>
    <col min="7" max="7" width="11.421875" style="66" customWidth="1"/>
    <col min="8" max="8" width="6.140625" style="66" customWidth="1"/>
    <col min="9" max="9" width="5.57421875" style="66" customWidth="1"/>
    <col min="10" max="10" width="8.421875" style="66" customWidth="1"/>
    <col min="11" max="11" width="4.00390625" style="68" customWidth="1"/>
    <col min="12" max="12" width="16.28125" style="66" bestFit="1" customWidth="1"/>
    <col min="13" max="13" width="5.8515625" style="66" bestFit="1" customWidth="1"/>
    <col min="14" max="15" width="11.421875" style="66" customWidth="1"/>
    <col min="16" max="16384" width="9.140625" style="66" customWidth="1"/>
  </cols>
  <sheetData>
    <row r="1" spans="1:11" s="64" customFormat="1" ht="17.25" customHeight="1">
      <c r="A1" s="666" t="s">
        <v>0</v>
      </c>
      <c r="B1" s="666"/>
      <c r="C1" s="666"/>
      <c r="D1" s="666"/>
      <c r="E1" s="666"/>
      <c r="F1" s="666"/>
      <c r="G1" s="666"/>
      <c r="H1" s="63"/>
      <c r="K1" s="65"/>
    </row>
    <row r="2" spans="1:13" ht="17.25" customHeight="1">
      <c r="A2" s="667" t="s">
        <v>226</v>
      </c>
      <c r="B2" s="667"/>
      <c r="C2" s="667" t="s">
        <v>119</v>
      </c>
      <c r="D2" s="667"/>
      <c r="E2" s="667"/>
      <c r="F2" s="667"/>
      <c r="G2" s="667"/>
      <c r="H2" s="63"/>
      <c r="J2" s="675" t="s">
        <v>75</v>
      </c>
      <c r="K2" s="675"/>
      <c r="M2" s="67"/>
    </row>
    <row r="3" spans="1:11" ht="17.25" customHeight="1">
      <c r="A3" s="553" t="s">
        <v>235</v>
      </c>
      <c r="B3" s="679"/>
      <c r="C3" s="680"/>
      <c r="D3" s="680"/>
      <c r="E3" s="680"/>
      <c r="F3" s="680"/>
      <c r="G3" s="681"/>
      <c r="H3" s="63"/>
      <c r="J3" s="675"/>
      <c r="K3" s="675"/>
    </row>
    <row r="4" spans="1:8" ht="17.25" customHeight="1">
      <c r="A4" s="553" t="s">
        <v>234</v>
      </c>
      <c r="B4" s="679"/>
      <c r="C4" s="680"/>
      <c r="D4" s="680"/>
      <c r="E4" s="680"/>
      <c r="F4" s="680"/>
      <c r="G4" s="681"/>
      <c r="H4" s="63"/>
    </row>
    <row r="5" spans="1:8" ht="17.25" customHeight="1">
      <c r="A5" s="665" t="s">
        <v>76</v>
      </c>
      <c r="B5" s="665"/>
      <c r="C5" s="665"/>
      <c r="D5" s="665"/>
      <c r="E5" s="665"/>
      <c r="F5" s="665"/>
      <c r="G5" s="665"/>
      <c r="H5" s="63"/>
    </row>
    <row r="6" spans="1:8" ht="17.25" customHeight="1">
      <c r="A6" s="673" t="s">
        <v>134</v>
      </c>
      <c r="B6" s="673"/>
      <c r="C6" s="198">
        <v>110000</v>
      </c>
      <c r="D6" s="676"/>
      <c r="E6" s="673" t="s">
        <v>80</v>
      </c>
      <c r="F6" s="673"/>
      <c r="G6" s="200">
        <v>2016</v>
      </c>
      <c r="H6" s="63"/>
    </row>
    <row r="7" spans="1:11" s="64" customFormat="1" ht="17.25" customHeight="1">
      <c r="A7" s="673" t="s">
        <v>87</v>
      </c>
      <c r="B7" s="673"/>
      <c r="C7" s="198">
        <v>0</v>
      </c>
      <c r="D7" s="677"/>
      <c r="E7" s="673" t="s">
        <v>135</v>
      </c>
      <c r="F7" s="673"/>
      <c r="G7" s="200">
        <v>450</v>
      </c>
      <c r="H7" s="63"/>
      <c r="I7" s="66"/>
      <c r="J7" s="69"/>
      <c r="K7" s="65"/>
    </row>
    <row r="8" spans="1:11" s="71" customFormat="1" ht="17.25" customHeight="1">
      <c r="A8" s="673" t="s">
        <v>137</v>
      </c>
      <c r="B8" s="673"/>
      <c r="C8" s="198">
        <v>0</v>
      </c>
      <c r="D8" s="678"/>
      <c r="E8" s="674" t="s">
        <v>40</v>
      </c>
      <c r="F8" s="674"/>
      <c r="G8" s="157" t="s">
        <v>91</v>
      </c>
      <c r="H8" s="63"/>
      <c r="I8" s="70"/>
      <c r="K8" s="72"/>
    </row>
    <row r="9" spans="1:12" ht="17.25" customHeight="1">
      <c r="A9" s="672" t="s">
        <v>138</v>
      </c>
      <c r="B9" s="672"/>
      <c r="C9" s="672"/>
      <c r="D9" s="672"/>
      <c r="E9" s="672"/>
      <c r="F9" s="672"/>
      <c r="G9" s="672"/>
      <c r="H9" s="63"/>
      <c r="I9" s="70"/>
      <c r="J9" s="71"/>
      <c r="K9" s="72"/>
      <c r="L9" s="71"/>
    </row>
    <row r="10" spans="1:12" ht="17.25" customHeight="1">
      <c r="A10" s="665" t="s">
        <v>83</v>
      </c>
      <c r="B10" s="665"/>
      <c r="C10" s="665"/>
      <c r="D10" s="669"/>
      <c r="E10" s="665" t="s">
        <v>84</v>
      </c>
      <c r="F10" s="665"/>
      <c r="G10" s="665"/>
      <c r="H10" s="63"/>
      <c r="I10" s="70"/>
      <c r="J10" s="71"/>
      <c r="K10" s="72"/>
      <c r="L10" s="71"/>
    </row>
    <row r="11" spans="1:12" ht="17.25" customHeight="1">
      <c r="A11" s="199" t="s">
        <v>139</v>
      </c>
      <c r="B11" s="201"/>
      <c r="C11" s="158">
        <f>C6*Database1!G7</f>
        <v>1804.0000000000002</v>
      </c>
      <c r="D11" s="670"/>
      <c r="E11" s="199" t="s">
        <v>46</v>
      </c>
      <c r="F11" s="201"/>
      <c r="G11" s="158">
        <f>Database1!G9</f>
        <v>4544</v>
      </c>
      <c r="H11" s="63"/>
      <c r="I11" s="70"/>
      <c r="J11" s="71"/>
      <c r="K11" s="72"/>
      <c r="L11" s="71"/>
    </row>
    <row r="12" spans="1:12" ht="17.25" customHeight="1">
      <c r="A12" s="199" t="s">
        <v>87</v>
      </c>
      <c r="B12" s="201"/>
      <c r="C12" s="158">
        <f>C7*0.04</f>
        <v>0</v>
      </c>
      <c r="D12" s="670"/>
      <c r="E12" s="199" t="s">
        <v>142</v>
      </c>
      <c r="F12" s="201"/>
      <c r="G12" s="158">
        <f>IF(C8&gt;0,60,0)</f>
        <v>0</v>
      </c>
      <c r="H12" s="63"/>
      <c r="I12" s="70"/>
      <c r="J12" s="71"/>
      <c r="K12" s="72"/>
      <c r="L12" s="71"/>
    </row>
    <row r="13" spans="1:12" ht="17.25" customHeight="1">
      <c r="A13" s="199" t="s">
        <v>142</v>
      </c>
      <c r="B13" s="201"/>
      <c r="C13" s="158">
        <f>IF(C8&gt;0,C8*0.04,0)</f>
        <v>0</v>
      </c>
      <c r="D13" s="670"/>
      <c r="E13" s="199"/>
      <c r="F13" s="201"/>
      <c r="G13" s="158"/>
      <c r="H13" s="63"/>
      <c r="I13" s="70"/>
      <c r="J13" s="71"/>
      <c r="K13" s="72"/>
      <c r="L13" s="71"/>
    </row>
    <row r="14" spans="1:12" ht="17.25" customHeight="1">
      <c r="A14" s="202" t="s">
        <v>92</v>
      </c>
      <c r="B14" s="203"/>
      <c r="C14" s="204">
        <f>SUM(C11:C13)</f>
        <v>1804.0000000000002</v>
      </c>
      <c r="D14" s="670"/>
      <c r="E14" s="202" t="s">
        <v>143</v>
      </c>
      <c r="F14" s="205"/>
      <c r="G14" s="204">
        <f>SUM(G11:G12)</f>
        <v>4544</v>
      </c>
      <c r="H14" s="63"/>
      <c r="I14" s="70"/>
      <c r="J14" s="71"/>
      <c r="K14" s="72"/>
      <c r="L14" s="71"/>
    </row>
    <row r="15" spans="1:12" ht="17.25" customHeight="1">
      <c r="A15" s="199" t="s">
        <v>144</v>
      </c>
      <c r="B15" s="206" t="s">
        <v>35</v>
      </c>
      <c r="C15" s="158">
        <f>IF(B15="Yes",(C11+C12+C13)*0.15,0)</f>
        <v>0</v>
      </c>
      <c r="D15" s="670"/>
      <c r="E15" s="199" t="s">
        <v>126</v>
      </c>
      <c r="F15" s="157" t="s">
        <v>88</v>
      </c>
      <c r="G15" s="158">
        <f>IF(F15="Yes",50*F16,0)</f>
        <v>50</v>
      </c>
      <c r="H15" s="63"/>
      <c r="I15" s="70"/>
      <c r="J15" s="71"/>
      <c r="K15" s="72"/>
      <c r="L15" s="71"/>
    </row>
    <row r="16" spans="1:12" s="70" customFormat="1" ht="17.25" customHeight="1">
      <c r="A16" s="153" t="s">
        <v>95</v>
      </c>
      <c r="B16" s="152" t="s">
        <v>35</v>
      </c>
      <c r="C16" s="162">
        <f>C6*A55/10</f>
        <v>0</v>
      </c>
      <c r="D16" s="670"/>
      <c r="E16" s="199" t="s">
        <v>154</v>
      </c>
      <c r="F16" s="157">
        <v>1</v>
      </c>
      <c r="G16" s="158"/>
      <c r="H16" s="63"/>
      <c r="J16" s="71"/>
      <c r="K16" s="72"/>
      <c r="L16" s="71"/>
    </row>
    <row r="17" spans="1:12" ht="17.25" customHeight="1">
      <c r="A17" s="153" t="s">
        <v>146</v>
      </c>
      <c r="B17" s="163">
        <v>0</v>
      </c>
      <c r="C17" s="162">
        <f>(C14)*B17</f>
        <v>0</v>
      </c>
      <c r="D17" s="670"/>
      <c r="E17" s="207" t="s">
        <v>125</v>
      </c>
      <c r="F17" s="157" t="s">
        <v>88</v>
      </c>
      <c r="G17" s="158">
        <f>IF(F17="Yes",750,0)</f>
        <v>750</v>
      </c>
      <c r="H17" s="63"/>
      <c r="I17" s="70"/>
      <c r="J17" s="71"/>
      <c r="K17" s="72"/>
      <c r="L17" s="71"/>
    </row>
    <row r="18" spans="1:12" ht="17.25" customHeight="1">
      <c r="A18" s="199" t="s">
        <v>156</v>
      </c>
      <c r="B18" s="157" t="s">
        <v>35</v>
      </c>
      <c r="C18" s="158">
        <f>IF(B18="Yes",C14*0.3,0)</f>
        <v>0</v>
      </c>
      <c r="D18" s="670"/>
      <c r="E18" s="208"/>
      <c r="F18" s="208"/>
      <c r="G18" s="208"/>
      <c r="H18" s="63"/>
      <c r="I18" s="70"/>
      <c r="J18" s="71"/>
      <c r="K18" s="72"/>
      <c r="L18" s="71"/>
    </row>
    <row r="19" spans="1:12" ht="17.25" customHeight="1">
      <c r="A19" s="199" t="s">
        <v>129</v>
      </c>
      <c r="B19" s="157" t="s">
        <v>35</v>
      </c>
      <c r="C19" s="158">
        <f>IF(B19="Yes",50,0)</f>
        <v>0</v>
      </c>
      <c r="D19" s="670"/>
      <c r="E19" s="207"/>
      <c r="F19" s="157"/>
      <c r="G19" s="158"/>
      <c r="H19" s="63"/>
      <c r="I19" s="70"/>
      <c r="J19" s="71"/>
      <c r="K19" s="72"/>
      <c r="L19" s="71"/>
    </row>
    <row r="20" spans="1:12" ht="17.25" customHeight="1">
      <c r="A20" s="682" t="s">
        <v>131</v>
      </c>
      <c r="B20" s="683"/>
      <c r="C20" s="197">
        <f>SUM(C14:C19)</f>
        <v>1804.0000000000002</v>
      </c>
      <c r="D20" s="670"/>
      <c r="E20" s="202" t="s">
        <v>149</v>
      </c>
      <c r="F20" s="205"/>
      <c r="G20" s="197">
        <f>SUM(G14,G15,G17)</f>
        <v>5344</v>
      </c>
      <c r="H20" s="63"/>
      <c r="I20" s="70"/>
      <c r="J20" s="71"/>
      <c r="K20" s="72"/>
      <c r="L20" s="71"/>
    </row>
    <row r="21" spans="1:12" ht="17.25" customHeight="1">
      <c r="A21" s="673" t="s">
        <v>150</v>
      </c>
      <c r="B21" s="673"/>
      <c r="C21" s="158"/>
      <c r="D21" s="670"/>
      <c r="E21" s="199" t="s">
        <v>68</v>
      </c>
      <c r="F21" s="157">
        <v>750000</v>
      </c>
      <c r="G21" s="158">
        <f>IF(F21=750000,0,150)</f>
        <v>0</v>
      </c>
      <c r="H21" s="63"/>
      <c r="I21" s="70"/>
      <c r="J21" s="71"/>
      <c r="K21" s="72"/>
      <c r="L21" s="71"/>
    </row>
    <row r="22" spans="1:12" ht="17.25" customHeight="1">
      <c r="A22" s="199" t="s">
        <v>67</v>
      </c>
      <c r="B22" s="157" t="s">
        <v>35</v>
      </c>
      <c r="C22" s="158">
        <f>IF(B22="Yes",MIN(C20*0.025,500),0)</f>
        <v>0</v>
      </c>
      <c r="D22" s="670"/>
      <c r="E22" s="199"/>
      <c r="F22" s="199"/>
      <c r="G22" s="199"/>
      <c r="H22" s="63"/>
      <c r="I22" s="70"/>
      <c r="J22" s="71"/>
      <c r="K22" s="72"/>
      <c r="L22" s="71"/>
    </row>
    <row r="23" spans="1:12" ht="17.25" customHeight="1">
      <c r="A23" s="199" t="s">
        <v>62</v>
      </c>
      <c r="B23" s="157" t="s">
        <v>35</v>
      </c>
      <c r="C23" s="158">
        <f>IF(B23="Yes",MIN(C20*0.05,200),0)</f>
        <v>0</v>
      </c>
      <c r="D23" s="670"/>
      <c r="E23" s="199"/>
      <c r="F23" s="201"/>
      <c r="G23" s="158"/>
      <c r="H23" s="63"/>
      <c r="I23" s="70"/>
      <c r="J23" s="71"/>
      <c r="K23" s="72"/>
      <c r="L23" s="71"/>
    </row>
    <row r="24" spans="1:12" s="70" customFormat="1" ht="17.25" customHeight="1">
      <c r="A24" s="199" t="s">
        <v>133</v>
      </c>
      <c r="B24" s="157" t="s">
        <v>35</v>
      </c>
      <c r="C24" s="158">
        <f>IF(B24="Yes",C20*(1/3),0)</f>
        <v>0</v>
      </c>
      <c r="D24" s="670"/>
      <c r="E24" s="199"/>
      <c r="F24" s="201"/>
      <c r="G24" s="158"/>
      <c r="H24" s="63"/>
      <c r="J24" s="71"/>
      <c r="K24" s="72"/>
      <c r="L24" s="71"/>
    </row>
    <row r="25" spans="1:8" ht="17.25" customHeight="1">
      <c r="A25" s="202" t="s">
        <v>151</v>
      </c>
      <c r="B25" s="203"/>
      <c r="C25" s="204">
        <f>C20-SUM(C22:C24)</f>
        <v>1804.0000000000002</v>
      </c>
      <c r="D25" s="670"/>
      <c r="E25" s="209"/>
      <c r="F25" s="203"/>
      <c r="G25" s="204"/>
      <c r="H25" s="63"/>
    </row>
    <row r="26" spans="1:8" ht="17.25" customHeight="1">
      <c r="A26" s="199" t="s">
        <v>73</v>
      </c>
      <c r="B26" s="210">
        <v>0</v>
      </c>
      <c r="C26" s="158">
        <f>(C14+C15+C17-C27-C28)*B26</f>
        <v>0</v>
      </c>
      <c r="D26" s="670"/>
      <c r="E26" s="208"/>
      <c r="F26" s="201"/>
      <c r="G26" s="158"/>
      <c r="H26" s="63"/>
    </row>
    <row r="27" spans="1:12" s="74" customFormat="1" ht="17.25" customHeight="1">
      <c r="A27" s="153" t="s">
        <v>108</v>
      </c>
      <c r="B27" s="211">
        <v>0.5</v>
      </c>
      <c r="C27" s="158">
        <f>(C14+C15)*B27</f>
        <v>902.0000000000001</v>
      </c>
      <c r="D27" s="670"/>
      <c r="E27" s="199"/>
      <c r="F27" s="201"/>
      <c r="G27" s="158"/>
      <c r="H27" s="63"/>
      <c r="I27" s="66"/>
      <c r="J27" s="70"/>
      <c r="K27" s="63"/>
      <c r="L27" s="70"/>
    </row>
    <row r="28" spans="1:12" s="74" customFormat="1" ht="17.25" customHeight="1">
      <c r="A28" s="153" t="s">
        <v>197</v>
      </c>
      <c r="B28" s="163">
        <v>0</v>
      </c>
      <c r="C28" s="171">
        <f>C17*B28</f>
        <v>0</v>
      </c>
      <c r="D28" s="670"/>
      <c r="E28" s="199"/>
      <c r="F28" s="201"/>
      <c r="G28" s="158"/>
      <c r="H28" s="63"/>
      <c r="I28" s="66"/>
      <c r="J28" s="66"/>
      <c r="K28" s="68"/>
      <c r="L28" s="66"/>
    </row>
    <row r="29" spans="1:11" s="74" customFormat="1" ht="17.25" customHeight="1">
      <c r="A29" s="665" t="s">
        <v>109</v>
      </c>
      <c r="B29" s="665"/>
      <c r="C29" s="196">
        <f>C25-(C26+C27+C28)</f>
        <v>902.0000000000001</v>
      </c>
      <c r="D29" s="671"/>
      <c r="E29" s="665" t="s">
        <v>110</v>
      </c>
      <c r="F29" s="665"/>
      <c r="G29" s="197">
        <f>G20-G21+G27</f>
        <v>5344</v>
      </c>
      <c r="H29" s="63"/>
      <c r="K29" s="81"/>
    </row>
    <row r="30" spans="1:12" s="84" customFormat="1" ht="17.25" customHeight="1">
      <c r="A30" s="75"/>
      <c r="B30" s="76"/>
      <c r="C30" s="75"/>
      <c r="D30" s="66"/>
      <c r="E30" s="77"/>
      <c r="F30" s="75"/>
      <c r="G30" s="78"/>
      <c r="H30" s="63"/>
      <c r="I30" s="74"/>
      <c r="J30" s="74"/>
      <c r="K30" s="81"/>
      <c r="L30" s="74"/>
    </row>
    <row r="31" spans="1:12" ht="17.25" customHeight="1">
      <c r="A31" s="598" t="s">
        <v>201</v>
      </c>
      <c r="B31" s="668" t="s">
        <v>113</v>
      </c>
      <c r="C31" s="668"/>
      <c r="D31" s="668"/>
      <c r="E31" s="212" t="s">
        <v>111</v>
      </c>
      <c r="F31" s="213" t="s">
        <v>112</v>
      </c>
      <c r="G31" s="214" t="s">
        <v>36</v>
      </c>
      <c r="H31" s="63"/>
      <c r="I31" s="74"/>
      <c r="J31" s="74"/>
      <c r="K31" s="81"/>
      <c r="L31" s="74"/>
    </row>
    <row r="32" spans="1:12" ht="17.25" customHeight="1">
      <c r="A32" s="598"/>
      <c r="B32" s="668"/>
      <c r="C32" s="668"/>
      <c r="D32" s="668"/>
      <c r="E32" s="215">
        <f>C29</f>
        <v>902.0000000000001</v>
      </c>
      <c r="F32" s="158">
        <f>G29</f>
        <v>5344</v>
      </c>
      <c r="G32" s="216">
        <f>E32+F32</f>
        <v>6246</v>
      </c>
      <c r="H32" s="63"/>
      <c r="I32" s="88"/>
      <c r="J32" s="84"/>
      <c r="K32" s="89"/>
      <c r="L32" s="84"/>
    </row>
    <row r="33" spans="1:8" ht="15.75" customHeight="1">
      <c r="A33" s="598"/>
      <c r="B33" s="655" t="s">
        <v>209</v>
      </c>
      <c r="C33" s="656"/>
      <c r="D33" s="656"/>
      <c r="E33" s="217">
        <f>E32*HyperLink!B21</f>
        <v>162.36</v>
      </c>
      <c r="F33" s="217">
        <f>F32*HyperLink!B21</f>
        <v>961.92</v>
      </c>
      <c r="G33" s="217">
        <f>G32*HyperLink!B21</f>
        <v>1124.28</v>
      </c>
      <c r="H33" s="63"/>
    </row>
    <row r="34" spans="1:8" ht="15.75" customHeight="1">
      <c r="A34" s="598"/>
      <c r="B34" s="684" t="s">
        <v>152</v>
      </c>
      <c r="C34" s="684"/>
      <c r="D34" s="684"/>
      <c r="E34" s="218">
        <f>SUM(E32:E33)</f>
        <v>1064.3600000000001</v>
      </c>
      <c r="F34" s="218">
        <f>SUM(F32:F33)</f>
        <v>6305.92</v>
      </c>
      <c r="G34" s="219">
        <f>SUM(G32:G33)</f>
        <v>7370.28</v>
      </c>
      <c r="H34" s="63"/>
    </row>
    <row r="35" spans="7:8" ht="15.75" customHeight="1">
      <c r="G35" s="90"/>
      <c r="H35" s="63"/>
    </row>
    <row r="36" ht="15.75" customHeight="1">
      <c r="H36" s="63"/>
    </row>
    <row r="37" ht="15.75" customHeight="1">
      <c r="H37" s="63"/>
    </row>
    <row r="38" ht="15.75" customHeight="1">
      <c r="H38" s="63"/>
    </row>
    <row r="51" ht="15.75" customHeight="1" hidden="1"/>
    <row r="52" ht="15.75" customHeight="1" hidden="1"/>
    <row r="53" ht="15.75" customHeight="1" hidden="1"/>
    <row r="54" spans="1:2" ht="15.75" customHeight="1">
      <c r="A54" s="91" t="s">
        <v>54</v>
      </c>
      <c r="B54" s="91" t="s">
        <v>119</v>
      </c>
    </row>
    <row r="55" spans="1:2" ht="15.75" customHeight="1">
      <c r="A55" s="92" t="b">
        <f>IF(B16="Yes",IF(B55=0,4.5%,IF(B55=1,5.5%,IF(B55=2,7%,0))))</f>
        <v>0</v>
      </c>
      <c r="B55" s="93">
        <f ca="1">YEAR(TODAY())-(G6)</f>
        <v>2</v>
      </c>
    </row>
  </sheetData>
  <sheetProtection password="CEED" sheet="1"/>
  <mergeCells count="26">
    <mergeCell ref="A20:B20"/>
    <mergeCell ref="B34:D34"/>
    <mergeCell ref="A21:B21"/>
    <mergeCell ref="A29:B29"/>
    <mergeCell ref="E29:F29"/>
    <mergeCell ref="B31:D31"/>
    <mergeCell ref="B33:D33"/>
    <mergeCell ref="A31:A34"/>
    <mergeCell ref="E8:F8"/>
    <mergeCell ref="J2:K3"/>
    <mergeCell ref="A5:G5"/>
    <mergeCell ref="A6:B6"/>
    <mergeCell ref="E6:F6"/>
    <mergeCell ref="D6:D8"/>
    <mergeCell ref="B3:G3"/>
    <mergeCell ref="B4:G4"/>
    <mergeCell ref="A1:G1"/>
    <mergeCell ref="A2:G2"/>
    <mergeCell ref="B32:D32"/>
    <mergeCell ref="D10:D29"/>
    <mergeCell ref="A9:G9"/>
    <mergeCell ref="A10:C10"/>
    <mergeCell ref="E10:G10"/>
    <mergeCell ref="A7:B7"/>
    <mergeCell ref="E7:F7"/>
    <mergeCell ref="A8:B8"/>
  </mergeCells>
  <dataValidations count="6">
    <dataValidation type="list" allowBlank="1" showErrorMessage="1" sqref="F21">
      <formula1>"750000,6000"</formula1>
      <formula2>0</formula2>
    </dataValidation>
    <dataValidation type="list" allowBlank="1" showErrorMessage="1" sqref="B13 B15:B16 F15 F17 B18:B19 F19 B22:B24">
      <formula1>"Yes,No"</formula1>
      <formula2>0</formula2>
    </dataValidation>
    <dataValidation type="list" allowBlank="1" showErrorMessage="1" sqref="B26">
      <formula1>"0%,20%,25%,35%,45%,50%,55%,65%"</formula1>
      <formula2>0</formula2>
    </dataValidation>
    <dataValidation type="list" allowBlank="1" showErrorMessage="1" sqref="G8">
      <formula1>"A,B,C"</formula1>
      <formula2>0</formula2>
    </dataValidation>
    <dataValidation allowBlank="1" showErrorMessage="1" sqref="B28">
      <formula1>0</formula1>
      <formula2>0</formula2>
    </dataValidation>
    <dataValidation type="list" allowBlank="1" showErrorMessage="1" sqref="B17">
      <formula1>"0%,20%,25%,40%"</formula1>
    </dataValidation>
  </dataValidations>
  <hyperlinks>
    <hyperlink ref="J2" location="HyperLink!A1" display="BACK TO HYPERLINK"/>
  </hyperlinks>
  <printOptions/>
  <pageMargins left="0.55" right="0.25972222222222224" top="0.9840277777777777" bottom="0.98402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7">
      <selection activeCell="G39" sqref="G39"/>
    </sheetView>
  </sheetViews>
  <sheetFormatPr defaultColWidth="9.140625" defaultRowHeight="16.5" customHeight="1"/>
  <cols>
    <col min="1" max="1" width="31.28125" style="221" customWidth="1"/>
    <col min="2" max="2" width="9.140625" style="221" customWidth="1"/>
    <col min="3" max="3" width="9.57421875" style="221" customWidth="1"/>
    <col min="4" max="4" width="3.00390625" style="221" customWidth="1"/>
    <col min="5" max="5" width="22.28125" style="221" customWidth="1"/>
    <col min="6" max="6" width="10.8515625" style="221" customWidth="1"/>
    <col min="7" max="7" width="8.140625" style="221" bestFit="1" customWidth="1"/>
    <col min="8" max="8" width="9.140625" style="221" customWidth="1"/>
    <col min="9" max="9" width="5.8515625" style="221" bestFit="1" customWidth="1"/>
    <col min="10" max="10" width="6.140625" style="221" bestFit="1" customWidth="1"/>
    <col min="11" max="11" width="2.7109375" style="221" bestFit="1" customWidth="1"/>
    <col min="12" max="12" width="16.28125" style="221" bestFit="1" customWidth="1"/>
    <col min="13" max="13" width="5.57421875" style="221" hidden="1" customWidth="1"/>
    <col min="14" max="14" width="6.00390625" style="221" hidden="1" customWidth="1"/>
    <col min="15" max="16384" width="9.140625" style="221" customWidth="1"/>
  </cols>
  <sheetData>
    <row r="1" spans="1:14" s="74" customFormat="1" ht="16.5" customHeight="1">
      <c r="A1" s="691" t="s">
        <v>0</v>
      </c>
      <c r="B1" s="691"/>
      <c r="C1" s="691"/>
      <c r="D1" s="691"/>
      <c r="E1" s="691"/>
      <c r="F1" s="691"/>
      <c r="G1" s="691"/>
      <c r="M1" s="74" t="s">
        <v>73</v>
      </c>
      <c r="N1" s="74" t="s">
        <v>74</v>
      </c>
    </row>
    <row r="2" spans="1:14" ht="16.5" customHeight="1">
      <c r="A2" s="692" t="s">
        <v>227</v>
      </c>
      <c r="B2" s="692"/>
      <c r="C2" s="692" t="s">
        <v>119</v>
      </c>
      <c r="D2" s="692"/>
      <c r="E2" s="692"/>
      <c r="F2" s="692"/>
      <c r="G2" s="692"/>
      <c r="J2" s="685" t="s">
        <v>27</v>
      </c>
      <c r="M2" s="67">
        <f>C14+C15-C27+C17</f>
        <v>861</v>
      </c>
      <c r="N2" s="222">
        <f>C14+C15</f>
        <v>1148</v>
      </c>
    </row>
    <row r="3" spans="1:11" ht="16.5" customHeight="1">
      <c r="A3" s="525" t="s">
        <v>235</v>
      </c>
      <c r="B3" s="688"/>
      <c r="C3" s="689"/>
      <c r="D3" s="689"/>
      <c r="E3" s="689"/>
      <c r="F3" s="689"/>
      <c r="G3" s="690"/>
      <c r="J3" s="685"/>
      <c r="K3" s="74"/>
    </row>
    <row r="4" spans="1:7" ht="16.5" customHeight="1">
      <c r="A4" s="525" t="s">
        <v>234</v>
      </c>
      <c r="B4" s="688"/>
      <c r="C4" s="689"/>
      <c r="D4" s="689"/>
      <c r="E4" s="689"/>
      <c r="F4" s="689"/>
      <c r="G4" s="690"/>
    </row>
    <row r="5" spans="1:7" ht="16.5" customHeight="1">
      <c r="A5" s="686" t="s">
        <v>76</v>
      </c>
      <c r="B5" s="686"/>
      <c r="C5" s="686"/>
      <c r="D5" s="686"/>
      <c r="E5" s="686"/>
      <c r="F5" s="686"/>
      <c r="G5" s="686"/>
    </row>
    <row r="6" spans="1:7" ht="16.5" customHeight="1">
      <c r="A6" s="687" t="s">
        <v>134</v>
      </c>
      <c r="B6" s="687"/>
      <c r="C6" s="368">
        <v>100000</v>
      </c>
      <c r="D6" s="687"/>
      <c r="E6" s="687" t="s">
        <v>80</v>
      </c>
      <c r="F6" s="687"/>
      <c r="G6" s="369">
        <v>2016</v>
      </c>
    </row>
    <row r="7" spans="1:10" s="74" customFormat="1" ht="16.5" customHeight="1">
      <c r="A7" s="687" t="s">
        <v>87</v>
      </c>
      <c r="B7" s="687"/>
      <c r="C7" s="368">
        <v>0</v>
      </c>
      <c r="D7" s="687"/>
      <c r="E7" s="687" t="s">
        <v>135</v>
      </c>
      <c r="F7" s="687"/>
      <c r="G7" s="369">
        <v>1000</v>
      </c>
      <c r="H7" s="221"/>
      <c r="I7" s="221"/>
      <c r="J7" s="223"/>
    </row>
    <row r="8" spans="1:9" s="84" customFormat="1" ht="16.5" customHeight="1">
      <c r="A8" s="687" t="s">
        <v>137</v>
      </c>
      <c r="B8" s="687"/>
      <c r="C8" s="368">
        <v>0</v>
      </c>
      <c r="D8" s="687"/>
      <c r="E8" s="693" t="s">
        <v>40</v>
      </c>
      <c r="F8" s="693"/>
      <c r="G8" s="370" t="s">
        <v>91</v>
      </c>
      <c r="H8" s="132"/>
      <c r="I8" s="132"/>
    </row>
    <row r="9" spans="1:14" ht="16.5" customHeight="1">
      <c r="A9" s="694" t="s">
        <v>138</v>
      </c>
      <c r="B9" s="694"/>
      <c r="C9" s="694"/>
      <c r="D9" s="694"/>
      <c r="E9" s="694"/>
      <c r="F9" s="694"/>
      <c r="G9" s="694"/>
      <c r="I9" s="132"/>
      <c r="J9" s="84"/>
      <c r="K9" s="84"/>
      <c r="L9" s="84"/>
      <c r="M9" s="84"/>
      <c r="N9" s="114"/>
    </row>
    <row r="10" spans="1:14" ht="16.5" customHeight="1">
      <c r="A10" s="686" t="s">
        <v>83</v>
      </c>
      <c r="B10" s="686"/>
      <c r="C10" s="686"/>
      <c r="D10" s="371"/>
      <c r="E10" s="686" t="s">
        <v>84</v>
      </c>
      <c r="F10" s="686"/>
      <c r="G10" s="686"/>
      <c r="I10" s="132"/>
      <c r="J10" s="84"/>
      <c r="K10" s="84"/>
      <c r="L10" s="84"/>
      <c r="M10" s="84"/>
      <c r="N10" s="95"/>
    </row>
    <row r="11" spans="1:14" ht="16.5" customHeight="1">
      <c r="A11" s="324" t="s">
        <v>139</v>
      </c>
      <c r="B11" s="372"/>
      <c r="C11" s="326">
        <f>C6*'Database 2'!G7</f>
        <v>1148</v>
      </c>
      <c r="D11" s="371"/>
      <c r="E11" s="324" t="s">
        <v>46</v>
      </c>
      <c r="F11" s="372"/>
      <c r="G11" s="326">
        <f>'Database 2'!G9</f>
        <v>3150</v>
      </c>
      <c r="I11" s="132"/>
      <c r="J11" s="84"/>
      <c r="K11" s="84"/>
      <c r="L11" s="84"/>
      <c r="M11" s="84"/>
      <c r="N11" s="95"/>
    </row>
    <row r="12" spans="1:14" ht="16.5" customHeight="1">
      <c r="A12" s="324" t="s">
        <v>87</v>
      </c>
      <c r="B12" s="372"/>
      <c r="C12" s="326">
        <f>C7*0.04</f>
        <v>0</v>
      </c>
      <c r="D12" s="371"/>
      <c r="E12" s="324" t="s">
        <v>142</v>
      </c>
      <c r="F12" s="372"/>
      <c r="G12" s="326">
        <f>IF(C8&gt;0,60,0)</f>
        <v>0</v>
      </c>
      <c r="I12" s="132"/>
      <c r="J12" s="84"/>
      <c r="K12" s="84"/>
      <c r="L12" s="84"/>
      <c r="M12" s="84"/>
      <c r="N12" s="95"/>
    </row>
    <row r="13" spans="1:14" ht="16.5" customHeight="1">
      <c r="A13" s="324" t="s">
        <v>142</v>
      </c>
      <c r="B13" s="324"/>
      <c r="C13" s="326">
        <f>IF(C8&gt;0,C8*0.04,0)</f>
        <v>0</v>
      </c>
      <c r="D13" s="371"/>
      <c r="E13" s="324"/>
      <c r="F13" s="372"/>
      <c r="G13" s="326"/>
      <c r="I13" s="132"/>
      <c r="J13" s="84"/>
      <c r="K13" s="84"/>
      <c r="L13" s="84"/>
      <c r="M13" s="84"/>
      <c r="N13" s="94"/>
    </row>
    <row r="14" spans="1:14" ht="16.5" customHeight="1">
      <c r="A14" s="686" t="s">
        <v>92</v>
      </c>
      <c r="B14" s="686"/>
      <c r="C14" s="373">
        <f>SUM(C11:C13)</f>
        <v>1148</v>
      </c>
      <c r="D14" s="371"/>
      <c r="E14" s="686" t="s">
        <v>143</v>
      </c>
      <c r="F14" s="686"/>
      <c r="G14" s="373">
        <f>SUM(G11:G12)</f>
        <v>3150</v>
      </c>
      <c r="I14" s="132"/>
      <c r="J14" s="84"/>
      <c r="K14" s="84"/>
      <c r="L14" s="84"/>
      <c r="M14" s="84"/>
      <c r="N14" s="95"/>
    </row>
    <row r="15" spans="1:14" ht="16.5" customHeight="1">
      <c r="A15" s="324" t="s">
        <v>144</v>
      </c>
      <c r="B15" s="370" t="s">
        <v>35</v>
      </c>
      <c r="C15" s="326">
        <f>IF(B15="Yes",(C11+C12+C13)*0.15,0)</f>
        <v>0</v>
      </c>
      <c r="D15" s="371"/>
      <c r="E15" s="324" t="s">
        <v>126</v>
      </c>
      <c r="F15" s="370" t="s">
        <v>88</v>
      </c>
      <c r="G15" s="326">
        <f>IF(F15="Yes",50*F16,0)</f>
        <v>50</v>
      </c>
      <c r="I15" s="132"/>
      <c r="J15" s="84"/>
      <c r="K15" s="84"/>
      <c r="L15" s="84"/>
      <c r="M15" s="84"/>
      <c r="N15" s="95"/>
    </row>
    <row r="16" spans="1:15" ht="16.5" customHeight="1">
      <c r="A16" s="150" t="s">
        <v>95</v>
      </c>
      <c r="B16" s="152" t="s">
        <v>35</v>
      </c>
      <c r="C16" s="155">
        <f>C6*A55/10</f>
        <v>0</v>
      </c>
      <c r="D16" s="371"/>
      <c r="E16" s="324" t="s">
        <v>154</v>
      </c>
      <c r="F16" s="370">
        <v>1</v>
      </c>
      <c r="G16" s="326"/>
      <c r="I16" s="132"/>
      <c r="J16" s="84"/>
      <c r="K16" s="84"/>
      <c r="L16" s="84"/>
      <c r="M16" s="84"/>
      <c r="N16" s="94"/>
      <c r="O16" s="132"/>
    </row>
    <row r="17" spans="1:14" ht="16.5" customHeight="1">
      <c r="A17" s="153" t="s">
        <v>146</v>
      </c>
      <c r="B17" s="185">
        <v>0.25</v>
      </c>
      <c r="C17" s="162">
        <f>(C14)*B17</f>
        <v>287</v>
      </c>
      <c r="D17" s="371"/>
      <c r="E17" s="324"/>
      <c r="F17" s="370"/>
      <c r="G17" s="326"/>
      <c r="I17" s="132"/>
      <c r="J17" s="84"/>
      <c r="K17" s="84"/>
      <c r="L17" s="84"/>
      <c r="M17" s="84"/>
      <c r="N17" s="94"/>
    </row>
    <row r="18" spans="1:14" ht="16.5" customHeight="1">
      <c r="A18" s="324" t="s">
        <v>156</v>
      </c>
      <c r="B18" s="370" t="s">
        <v>35</v>
      </c>
      <c r="C18" s="326">
        <f>IF(B18="Yes",C14*0.3,0)</f>
        <v>0</v>
      </c>
      <c r="D18" s="371"/>
      <c r="E18" s="374" t="s">
        <v>125</v>
      </c>
      <c r="F18" s="370" t="s">
        <v>88</v>
      </c>
      <c r="G18" s="326">
        <f>IF(F18="Yes",750,0)</f>
        <v>750</v>
      </c>
      <c r="I18" s="132"/>
      <c r="J18" s="84"/>
      <c r="K18" s="84"/>
      <c r="L18" s="84"/>
      <c r="M18" s="84"/>
      <c r="N18" s="94"/>
    </row>
    <row r="19" spans="1:14" ht="16.5" customHeight="1">
      <c r="A19" s="324" t="s">
        <v>129</v>
      </c>
      <c r="B19" s="370" t="s">
        <v>35</v>
      </c>
      <c r="C19" s="326">
        <f>IF(B19="Yes",50,0)</f>
        <v>0</v>
      </c>
      <c r="D19" s="371"/>
      <c r="E19" s="374"/>
      <c r="F19" s="370"/>
      <c r="G19" s="326"/>
      <c r="I19" s="132"/>
      <c r="J19" s="84"/>
      <c r="K19" s="84"/>
      <c r="L19" s="84"/>
      <c r="M19" s="84"/>
      <c r="N19" s="114"/>
    </row>
    <row r="20" spans="1:14" ht="16.5" customHeight="1">
      <c r="A20" s="686" t="s">
        <v>131</v>
      </c>
      <c r="B20" s="686"/>
      <c r="C20" s="373">
        <f>SUM(C14:C19)</f>
        <v>1435</v>
      </c>
      <c r="D20" s="371"/>
      <c r="E20" s="686" t="s">
        <v>149</v>
      </c>
      <c r="F20" s="686"/>
      <c r="G20" s="373">
        <f>SUM(G14,G15,G18)</f>
        <v>3950</v>
      </c>
      <c r="I20" s="132"/>
      <c r="J20" s="84"/>
      <c r="K20" s="84"/>
      <c r="L20" s="84"/>
      <c r="M20" s="84"/>
      <c r="N20" s="94"/>
    </row>
    <row r="21" spans="1:14" ht="16.5" customHeight="1">
      <c r="A21" s="687" t="s">
        <v>150</v>
      </c>
      <c r="B21" s="687"/>
      <c r="C21" s="326"/>
      <c r="D21" s="371"/>
      <c r="E21" s="324" t="s">
        <v>68</v>
      </c>
      <c r="F21" s="370">
        <v>750000</v>
      </c>
      <c r="G21" s="326">
        <f>IF(F21=750000,0,150)</f>
        <v>0</v>
      </c>
      <c r="I21" s="132"/>
      <c r="J21" s="84"/>
      <c r="K21" s="84"/>
      <c r="L21" s="84"/>
      <c r="M21" s="84"/>
      <c r="N21" s="224"/>
    </row>
    <row r="22" spans="1:13" ht="16.5" customHeight="1">
      <c r="A22" s="324" t="s">
        <v>67</v>
      </c>
      <c r="B22" s="370" t="s">
        <v>35</v>
      </c>
      <c r="C22" s="326">
        <f>IF(B22="Yes",MIN(C20*0.025,500),0)</f>
        <v>0</v>
      </c>
      <c r="D22" s="371"/>
      <c r="E22" s="324"/>
      <c r="F22" s="324"/>
      <c r="G22" s="324"/>
      <c r="I22" s="132"/>
      <c r="J22" s="84"/>
      <c r="K22" s="84"/>
      <c r="L22" s="84"/>
      <c r="M22" s="84"/>
    </row>
    <row r="23" spans="1:13" ht="16.5" customHeight="1">
      <c r="A23" s="324" t="s">
        <v>62</v>
      </c>
      <c r="B23" s="370" t="s">
        <v>35</v>
      </c>
      <c r="C23" s="326">
        <f>IF(B23="Yes",MIN(C20*0.05,200),0)</f>
        <v>0</v>
      </c>
      <c r="D23" s="371"/>
      <c r="E23" s="324"/>
      <c r="F23" s="372"/>
      <c r="G23" s="326"/>
      <c r="I23" s="132"/>
      <c r="J23" s="84"/>
      <c r="K23" s="84"/>
      <c r="L23" s="84"/>
      <c r="M23" s="84"/>
    </row>
    <row r="24" spans="1:7" s="132" customFormat="1" ht="16.5" customHeight="1">
      <c r="A24" s="324" t="s">
        <v>133</v>
      </c>
      <c r="B24" s="370" t="s">
        <v>35</v>
      </c>
      <c r="C24" s="326">
        <f>IF(B24="Yes",C20*(1/3),0)</f>
        <v>0</v>
      </c>
      <c r="D24" s="371"/>
      <c r="E24" s="324"/>
      <c r="F24" s="372"/>
      <c r="G24" s="326"/>
    </row>
    <row r="25" spans="1:7" ht="16.5" customHeight="1">
      <c r="A25" s="686" t="s">
        <v>151</v>
      </c>
      <c r="B25" s="686"/>
      <c r="C25" s="373">
        <f>C20-SUM(C22:C24)</f>
        <v>1435</v>
      </c>
      <c r="D25" s="371"/>
      <c r="E25" s="375"/>
      <c r="F25" s="376"/>
      <c r="G25" s="373"/>
    </row>
    <row r="26" spans="1:7" ht="16.5" customHeight="1">
      <c r="A26" s="324" t="s">
        <v>73</v>
      </c>
      <c r="B26" s="435">
        <v>0.2</v>
      </c>
      <c r="C26" s="158">
        <f>(C14+C15+C17-C27-C28)*B26</f>
        <v>160.72000000000003</v>
      </c>
      <c r="D26" s="371"/>
      <c r="E26" s="377"/>
      <c r="F26" s="372"/>
      <c r="G26" s="326"/>
    </row>
    <row r="27" spans="1:7" ht="16.5" customHeight="1">
      <c r="A27" s="150" t="s">
        <v>108</v>
      </c>
      <c r="B27" s="325">
        <v>0.5</v>
      </c>
      <c r="C27" s="158">
        <f>(C14+C15)*B27</f>
        <v>574</v>
      </c>
      <c r="D27" s="371"/>
      <c r="E27" s="377"/>
      <c r="F27" s="372"/>
      <c r="G27" s="326"/>
    </row>
    <row r="28" spans="1:7" ht="16.5" customHeight="1">
      <c r="A28" s="153" t="s">
        <v>197</v>
      </c>
      <c r="B28" s="163">
        <v>0.2</v>
      </c>
      <c r="C28" s="171">
        <f>C17*B28</f>
        <v>57.400000000000006</v>
      </c>
      <c r="D28" s="371"/>
      <c r="E28" s="377"/>
      <c r="F28" s="372"/>
      <c r="G28" s="326"/>
    </row>
    <row r="29" spans="1:7" ht="16.5" customHeight="1">
      <c r="A29" s="686" t="s">
        <v>109</v>
      </c>
      <c r="B29" s="686"/>
      <c r="C29" s="378">
        <f>C25-C26-C27-C28</f>
        <v>642.88</v>
      </c>
      <c r="D29" s="371"/>
      <c r="E29" s="686" t="s">
        <v>110</v>
      </c>
      <c r="F29" s="686"/>
      <c r="G29" s="379">
        <f>G20-G21+G27</f>
        <v>3950</v>
      </c>
    </row>
    <row r="30" spans="1:7" s="132" customFormat="1" ht="16.5" customHeight="1">
      <c r="A30" s="225"/>
      <c r="B30" s="226"/>
      <c r="C30" s="226"/>
      <c r="D30" s="226"/>
      <c r="E30" s="227"/>
      <c r="F30" s="225"/>
      <c r="G30" s="228"/>
    </row>
    <row r="31" spans="1:7" ht="16.5" customHeight="1">
      <c r="A31" s="598" t="s">
        <v>201</v>
      </c>
      <c r="B31" s="695" t="s">
        <v>113</v>
      </c>
      <c r="C31" s="695"/>
      <c r="D31" s="695"/>
      <c r="E31" s="380" t="s">
        <v>111</v>
      </c>
      <c r="F31" s="381" t="s">
        <v>112</v>
      </c>
      <c r="G31" s="382" t="s">
        <v>36</v>
      </c>
    </row>
    <row r="32" spans="1:7" ht="16.5" customHeight="1">
      <c r="A32" s="598"/>
      <c r="B32" s="695"/>
      <c r="C32" s="695"/>
      <c r="D32" s="695"/>
      <c r="E32" s="383">
        <f>C29</f>
        <v>642.88</v>
      </c>
      <c r="F32" s="326">
        <f>G29</f>
        <v>3950</v>
      </c>
      <c r="G32" s="384">
        <f>E32+F32</f>
        <v>4592.88</v>
      </c>
    </row>
    <row r="33" spans="1:7" ht="16.5" customHeight="1">
      <c r="A33" s="598"/>
      <c r="B33" s="655" t="s">
        <v>209</v>
      </c>
      <c r="C33" s="656"/>
      <c r="D33" s="656"/>
      <c r="E33" s="385">
        <f>E32*HyperLink!B21</f>
        <v>115.71839999999999</v>
      </c>
      <c r="F33" s="385">
        <f>F32*HyperLink!B21</f>
        <v>711</v>
      </c>
      <c r="G33" s="385">
        <f>G32*HyperLink!B21</f>
        <v>826.7184</v>
      </c>
    </row>
    <row r="34" spans="1:7" ht="16.5" customHeight="1">
      <c r="A34" s="598"/>
      <c r="B34" s="696" t="s">
        <v>152</v>
      </c>
      <c r="C34" s="696"/>
      <c r="D34" s="696"/>
      <c r="E34" s="386">
        <f>SUM(E32:E33)</f>
        <v>758.5984</v>
      </c>
      <c r="F34" s="386">
        <f>SUM(F32:F33)</f>
        <v>4661</v>
      </c>
      <c r="G34" s="387">
        <f>SUM(G32:G33)</f>
        <v>5419.5984</v>
      </c>
    </row>
    <row r="35" ht="16.5" customHeight="1">
      <c r="G35" s="229"/>
    </row>
    <row r="54" spans="1:2" ht="16.5" customHeight="1">
      <c r="A54" s="230" t="s">
        <v>54</v>
      </c>
      <c r="B54" s="230" t="s">
        <v>119</v>
      </c>
    </row>
    <row r="55" spans="1:2" ht="16.5" customHeight="1">
      <c r="A55" s="231" t="b">
        <f>IF(B16="Yes",IF(B55=0,4.5%,IF(B55=1,5.5%,IF(B55=2,7%,0))))</f>
        <v>0</v>
      </c>
      <c r="B55" s="232">
        <f ca="1">YEAR(TODAY())-(G6)</f>
        <v>2</v>
      </c>
    </row>
  </sheetData>
  <sheetProtection password="CEED" sheet="1"/>
  <mergeCells count="29">
    <mergeCell ref="B31:D31"/>
    <mergeCell ref="B32:D32"/>
    <mergeCell ref="B33:D33"/>
    <mergeCell ref="B34:D34"/>
    <mergeCell ref="A20:B20"/>
    <mergeCell ref="E20:F20"/>
    <mergeCell ref="A21:B21"/>
    <mergeCell ref="A25:B25"/>
    <mergeCell ref="A29:B29"/>
    <mergeCell ref="E29:F29"/>
    <mergeCell ref="A31:A34"/>
    <mergeCell ref="A1:G1"/>
    <mergeCell ref="A2:G2"/>
    <mergeCell ref="A7:B7"/>
    <mergeCell ref="E7:F7"/>
    <mergeCell ref="A8:B8"/>
    <mergeCell ref="E8:F8"/>
    <mergeCell ref="A9:G9"/>
    <mergeCell ref="A10:C10"/>
    <mergeCell ref="E10:G10"/>
    <mergeCell ref="J2:J3"/>
    <mergeCell ref="A5:G5"/>
    <mergeCell ref="A6:B6"/>
    <mergeCell ref="D6:D8"/>
    <mergeCell ref="E6:F6"/>
    <mergeCell ref="A14:B14"/>
    <mergeCell ref="E14:F14"/>
    <mergeCell ref="B3:G3"/>
    <mergeCell ref="B4:G4"/>
  </mergeCells>
  <dataValidations count="6">
    <dataValidation type="list" allowBlank="1" showErrorMessage="1" sqref="F21">
      <formula1>"750000,6000"</formula1>
      <formula2>0</formula2>
    </dataValidation>
    <dataValidation type="list" allowBlank="1" showErrorMessage="1" sqref="B26">
      <formula1>"0%,20%,25%,35%,45%,50%,55%,65%"</formula1>
      <formula2>0</formula2>
    </dataValidation>
    <dataValidation type="list" allowBlank="1" showErrorMessage="1" sqref="B15:B16 F15 B18:B19 F18:F19 B22:B24">
      <formula1>"Yes,No"</formula1>
      <formula2>0</formula2>
    </dataValidation>
    <dataValidation type="list" allowBlank="1" showErrorMessage="1" sqref="G8">
      <formula1>"A,B,C"</formula1>
      <formula2>0</formula2>
    </dataValidation>
    <dataValidation type="list" allowBlank="1" showErrorMessage="1" sqref="B17">
      <formula1>"0,15%,25%,35%"</formula1>
    </dataValidation>
    <dataValidation allowBlank="1" showErrorMessage="1" sqref="B28">
      <formula1>0</formula1>
      <formula2>0</formula2>
    </dataValidation>
  </dataValidations>
  <hyperlinks>
    <hyperlink ref="J2" location="HyperLink!A1" display="BACK"/>
  </hyperlinks>
  <printOptions/>
  <pageMargins left="0.4" right="0.2" top="0.9840277777777777" bottom="0.9840277777777777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7"/>
  <sheetViews>
    <sheetView zoomScale="130" zoomScaleNormal="130" zoomScalePageLayoutView="0" workbookViewId="0" topLeftCell="A1">
      <selection activeCell="C1" sqref="C1"/>
    </sheetView>
  </sheetViews>
  <sheetFormatPr defaultColWidth="9.140625" defaultRowHeight="12.75"/>
  <cols>
    <col min="1" max="1" width="12.421875" style="507" bestFit="1" customWidth="1"/>
    <col min="2" max="16384" width="9.140625" style="10" customWidth="1"/>
  </cols>
  <sheetData>
    <row r="1" spans="1:11" ht="13.5">
      <c r="A1" s="509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3.5">
      <c r="A2" s="509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.75" thickBot="1">
      <c r="A3" s="698" t="s">
        <v>168</v>
      </c>
      <c r="B3" s="698"/>
      <c r="C3" s="698"/>
      <c r="D3" s="698"/>
      <c r="E3" s="698"/>
      <c r="F3" s="698"/>
      <c r="G3" s="698"/>
      <c r="H3" s="13"/>
      <c r="I3" s="13"/>
      <c r="J3" s="13"/>
      <c r="K3" s="13"/>
    </row>
    <row r="4" spans="1:11" ht="13.5">
      <c r="A4" s="510" t="s">
        <v>48</v>
      </c>
      <c r="B4" s="700" t="s">
        <v>49</v>
      </c>
      <c r="C4" s="700"/>
      <c r="D4" s="700"/>
      <c r="E4" s="700"/>
      <c r="F4" s="700"/>
      <c r="G4" s="700"/>
      <c r="H4" s="13"/>
      <c r="I4" s="13"/>
      <c r="J4" s="13"/>
      <c r="K4" s="13"/>
    </row>
    <row r="5" spans="1:11" ht="13.5">
      <c r="A5" s="511"/>
      <c r="B5" s="701">
        <v>1000</v>
      </c>
      <c r="C5" s="701"/>
      <c r="D5" s="701">
        <v>1500</v>
      </c>
      <c r="E5" s="701"/>
      <c r="F5" s="697">
        <v>9999</v>
      </c>
      <c r="G5" s="697"/>
      <c r="H5" s="13"/>
      <c r="I5" s="13"/>
      <c r="J5" s="13"/>
      <c r="K5" s="13"/>
    </row>
    <row r="6" spans="1:11" ht="13.5">
      <c r="A6" s="511"/>
      <c r="B6" s="14" t="s">
        <v>50</v>
      </c>
      <c r="C6" s="14" t="s">
        <v>51</v>
      </c>
      <c r="D6" s="14" t="s">
        <v>50</v>
      </c>
      <c r="E6" s="14" t="s">
        <v>51</v>
      </c>
      <c r="F6" s="14" t="s">
        <v>50</v>
      </c>
      <c r="G6" s="15" t="s">
        <v>51</v>
      </c>
      <c r="H6" s="13"/>
      <c r="I6" s="13"/>
      <c r="J6" s="13"/>
      <c r="K6" s="13"/>
    </row>
    <row r="7" spans="1:11" ht="13.5">
      <c r="A7" s="511">
        <v>0</v>
      </c>
      <c r="B7" s="16">
        <v>3.284</v>
      </c>
      <c r="C7" s="16">
        <v>3.191</v>
      </c>
      <c r="D7" s="16">
        <v>3.448</v>
      </c>
      <c r="E7" s="16">
        <v>3.351</v>
      </c>
      <c r="F7" s="16">
        <v>3.612</v>
      </c>
      <c r="G7" s="17">
        <v>3.51</v>
      </c>
      <c r="H7" s="13"/>
      <c r="I7" s="13"/>
      <c r="J7" s="13"/>
      <c r="K7" s="13"/>
    </row>
    <row r="8" spans="1:11" ht="13.5">
      <c r="A8" s="511">
        <v>6</v>
      </c>
      <c r="B8" s="16">
        <v>3.366</v>
      </c>
      <c r="C8" s="16">
        <v>3.271</v>
      </c>
      <c r="D8" s="16">
        <v>3.534</v>
      </c>
      <c r="E8" s="16">
        <v>3.435</v>
      </c>
      <c r="F8" s="16">
        <v>3.703</v>
      </c>
      <c r="G8" s="17">
        <v>3.598</v>
      </c>
      <c r="H8" s="13"/>
      <c r="I8" s="13"/>
      <c r="J8" s="13"/>
      <c r="K8" s="13"/>
    </row>
    <row r="9" spans="1:11" ht="13.5">
      <c r="A9" s="511">
        <v>11</v>
      </c>
      <c r="B9" s="16">
        <v>3.448</v>
      </c>
      <c r="C9" s="16">
        <v>3.351</v>
      </c>
      <c r="D9" s="16">
        <v>3.62</v>
      </c>
      <c r="E9" s="16">
        <v>3.519</v>
      </c>
      <c r="F9" s="16">
        <v>3.793</v>
      </c>
      <c r="G9" s="17">
        <v>3.686</v>
      </c>
      <c r="H9" s="13"/>
      <c r="I9" s="13"/>
      <c r="J9" s="13"/>
      <c r="K9" s="13"/>
    </row>
    <row r="10" spans="1:11" ht="13.5">
      <c r="A10" s="511"/>
      <c r="B10" s="697" t="s">
        <v>52</v>
      </c>
      <c r="C10" s="697"/>
      <c r="D10" s="697"/>
      <c r="E10" s="697"/>
      <c r="F10" s="697"/>
      <c r="G10" s="697"/>
      <c r="H10" s="13"/>
      <c r="I10" s="13"/>
      <c r="J10" s="13"/>
      <c r="K10" s="13"/>
    </row>
    <row r="11" spans="1:11" ht="13.5">
      <c r="A11" s="511"/>
      <c r="B11" s="701">
        <v>1000</v>
      </c>
      <c r="C11" s="701"/>
      <c r="D11" s="701">
        <v>1500</v>
      </c>
      <c r="E11" s="701"/>
      <c r="F11" s="697">
        <v>9999</v>
      </c>
      <c r="G11" s="697"/>
      <c r="H11" s="13"/>
      <c r="I11" s="13"/>
      <c r="J11" s="13"/>
      <c r="K11" s="13"/>
    </row>
    <row r="12" spans="1:11" ht="13.5">
      <c r="A12" s="511"/>
      <c r="B12" s="14" t="s">
        <v>50</v>
      </c>
      <c r="C12" s="14" t="s">
        <v>51</v>
      </c>
      <c r="D12" s="14" t="s">
        <v>50</v>
      </c>
      <c r="E12" s="14" t="s">
        <v>51</v>
      </c>
      <c r="F12" s="14" t="s">
        <v>50</v>
      </c>
      <c r="G12" s="15" t="s">
        <v>51</v>
      </c>
      <c r="H12" s="13"/>
      <c r="I12" s="13"/>
      <c r="J12" s="13"/>
      <c r="K12" s="13"/>
    </row>
    <row r="13" spans="1:11" ht="13.5">
      <c r="A13" s="511">
        <v>0</v>
      </c>
      <c r="B13" s="508">
        <v>5437</v>
      </c>
      <c r="C13" s="508">
        <v>5437</v>
      </c>
      <c r="D13" s="508">
        <v>7147</v>
      </c>
      <c r="E13" s="508">
        <v>7147</v>
      </c>
      <c r="F13" s="508">
        <v>9472</v>
      </c>
      <c r="G13" s="508">
        <v>9472</v>
      </c>
      <c r="H13" s="13"/>
      <c r="I13" s="13"/>
      <c r="J13" s="13"/>
      <c r="K13" s="13"/>
    </row>
    <row r="14" spans="1:11" ht="13.5">
      <c r="A14" s="511">
        <v>6</v>
      </c>
      <c r="B14" s="508">
        <v>5437</v>
      </c>
      <c r="C14" s="508">
        <v>5437</v>
      </c>
      <c r="D14" s="508">
        <v>7147</v>
      </c>
      <c r="E14" s="508">
        <v>7147</v>
      </c>
      <c r="F14" s="508">
        <v>9472</v>
      </c>
      <c r="G14" s="508">
        <v>9472</v>
      </c>
      <c r="H14" s="13"/>
      <c r="I14" s="13"/>
      <c r="J14" s="13"/>
      <c r="K14" s="13"/>
    </row>
    <row r="15" spans="1:11" ht="13.5">
      <c r="A15" s="512">
        <v>11</v>
      </c>
      <c r="B15" s="508">
        <v>5437</v>
      </c>
      <c r="C15" s="508">
        <v>5437</v>
      </c>
      <c r="D15" s="508">
        <v>7147</v>
      </c>
      <c r="E15" s="508">
        <v>7147</v>
      </c>
      <c r="F15" s="508">
        <v>9472</v>
      </c>
      <c r="G15" s="508">
        <v>9472</v>
      </c>
      <c r="H15" s="13"/>
      <c r="I15" s="13"/>
      <c r="J15" s="13"/>
      <c r="K15" s="13"/>
    </row>
    <row r="16" spans="1:11" ht="13.5">
      <c r="A16" s="509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3.5">
      <c r="A17" s="510" t="s">
        <v>53</v>
      </c>
      <c r="B17" s="699" t="s">
        <v>49</v>
      </c>
      <c r="C17" s="699"/>
      <c r="D17" s="700" t="s">
        <v>52</v>
      </c>
      <c r="E17" s="700"/>
      <c r="F17" s="13"/>
      <c r="G17" s="13"/>
      <c r="H17" s="13"/>
      <c r="I17" s="13"/>
      <c r="J17" s="13"/>
      <c r="K17" s="13"/>
    </row>
    <row r="18" spans="1:11" ht="13.5">
      <c r="A18" s="511"/>
      <c r="B18" s="14" t="s">
        <v>54</v>
      </c>
      <c r="C18" s="14" t="s">
        <v>55</v>
      </c>
      <c r="D18" s="14" t="s">
        <v>54</v>
      </c>
      <c r="E18" s="15" t="s">
        <v>55</v>
      </c>
      <c r="F18" s="13"/>
      <c r="G18" s="13"/>
      <c r="H18" s="13"/>
      <c r="I18" s="13" t="s">
        <v>59</v>
      </c>
      <c r="J18" s="13"/>
      <c r="K18" s="13"/>
    </row>
    <row r="19" spans="1:11" ht="13.5">
      <c r="A19" s="511" t="s">
        <v>56</v>
      </c>
      <c r="B19" s="18">
        <v>0.04</v>
      </c>
      <c r="C19" s="14"/>
      <c r="D19" s="14"/>
      <c r="E19" s="15"/>
      <c r="F19" s="13"/>
      <c r="G19" s="13"/>
      <c r="H19" s="13"/>
      <c r="I19" s="13">
        <v>0</v>
      </c>
      <c r="J19" s="13">
        <v>0</v>
      </c>
      <c r="K19" s="13"/>
    </row>
    <row r="20" spans="1:11" ht="13.5">
      <c r="A20" s="511" t="s">
        <v>57</v>
      </c>
      <c r="B20" s="18">
        <v>0.04</v>
      </c>
      <c r="C20" s="14"/>
      <c r="D20" s="14"/>
      <c r="E20" s="15">
        <v>60</v>
      </c>
      <c r="F20" s="13"/>
      <c r="G20" s="13"/>
      <c r="H20" s="13"/>
      <c r="I20" s="13">
        <v>2500</v>
      </c>
      <c r="J20" s="13">
        <f>MIN(750,20%*'PCCV 4W Up To 6 P'!$C$15)</f>
        <v>750</v>
      </c>
      <c r="K20" s="13"/>
    </row>
    <row r="21" spans="1:11" ht="13.5">
      <c r="A21" s="511" t="s">
        <v>58</v>
      </c>
      <c r="B21" s="19">
        <v>0.005</v>
      </c>
      <c r="C21" s="14">
        <v>50</v>
      </c>
      <c r="D21" s="14"/>
      <c r="E21" s="15"/>
      <c r="F21" s="13"/>
      <c r="G21" s="13"/>
      <c r="H21" s="13"/>
      <c r="I21" s="13">
        <v>5000</v>
      </c>
      <c r="J21" s="13">
        <f>MIN(1500,25%*'PCCV 4W Up To 6 P'!$C$15)</f>
        <v>1500</v>
      </c>
      <c r="K21" s="13"/>
    </row>
    <row r="22" spans="1:11" ht="13.5">
      <c r="A22" s="511"/>
      <c r="B22" s="14"/>
      <c r="C22" s="14"/>
      <c r="D22" s="14"/>
      <c r="E22" s="15"/>
      <c r="F22" s="13"/>
      <c r="G22" s="13"/>
      <c r="H22" s="13"/>
      <c r="I22" s="13">
        <v>7500</v>
      </c>
      <c r="J22" s="13">
        <f>MIN(2000,30%*'PCCV 4W Up To 6 P'!$C$15)</f>
        <v>2000</v>
      </c>
      <c r="K22" s="13"/>
    </row>
    <row r="23" spans="1:11" ht="13.5">
      <c r="A23" s="511" t="s">
        <v>60</v>
      </c>
      <c r="B23" s="14"/>
      <c r="C23" s="14">
        <v>400</v>
      </c>
      <c r="D23" s="14"/>
      <c r="E23" s="15">
        <v>100</v>
      </c>
      <c r="F23" s="13"/>
      <c r="G23" s="13"/>
      <c r="H23" s="13"/>
      <c r="I23" s="13">
        <v>15000</v>
      </c>
      <c r="J23" s="13">
        <f>MIN(2500,35%*'PCCV 4W Up To 6 P'!$C$15)</f>
        <v>2500</v>
      </c>
      <c r="K23" s="13"/>
    </row>
    <row r="24" spans="1:11" ht="13.5">
      <c r="A24" s="511" t="s">
        <v>61</v>
      </c>
      <c r="B24" s="18">
        <v>0.3</v>
      </c>
      <c r="C24" s="14"/>
      <c r="D24" s="14"/>
      <c r="E24" s="15"/>
      <c r="F24" s="13"/>
      <c r="G24" s="13"/>
      <c r="H24" s="13"/>
      <c r="I24" s="13"/>
      <c r="J24" s="13"/>
      <c r="K24" s="13"/>
    </row>
    <row r="25" spans="1:11" ht="13.5">
      <c r="A25" s="511" t="s">
        <v>62</v>
      </c>
      <c r="B25" s="19">
        <v>0.05</v>
      </c>
      <c r="C25" s="14">
        <v>50</v>
      </c>
      <c r="D25" s="14"/>
      <c r="E25" s="15"/>
      <c r="F25" s="13"/>
      <c r="G25" s="13"/>
      <c r="H25" s="13"/>
      <c r="I25" s="13"/>
      <c r="J25" s="13"/>
      <c r="K25" s="13"/>
    </row>
    <row r="26" spans="1:11" ht="13.5">
      <c r="A26" s="511" t="s">
        <v>63</v>
      </c>
      <c r="B26" s="14"/>
      <c r="C26" s="14"/>
      <c r="D26" s="14"/>
      <c r="E26" s="15">
        <v>100</v>
      </c>
      <c r="F26" s="13"/>
      <c r="G26" s="13"/>
      <c r="H26" s="13"/>
      <c r="I26" s="13"/>
      <c r="J26" s="13"/>
      <c r="K26" s="13"/>
    </row>
    <row r="27" spans="1:11" ht="13.5">
      <c r="A27" s="511" t="s">
        <v>64</v>
      </c>
      <c r="B27" s="14"/>
      <c r="C27" s="14"/>
      <c r="D27" s="14"/>
      <c r="E27" s="15">
        <v>50</v>
      </c>
      <c r="F27" s="13"/>
      <c r="G27" s="13"/>
      <c r="H27" s="13"/>
      <c r="I27" s="13"/>
      <c r="J27" s="13"/>
      <c r="K27" s="13"/>
    </row>
    <row r="28" spans="1:11" ht="13.5">
      <c r="A28" s="511" t="s">
        <v>65</v>
      </c>
      <c r="B28" s="14"/>
      <c r="C28" s="14"/>
      <c r="D28" s="14"/>
      <c r="E28" s="15">
        <v>50</v>
      </c>
      <c r="F28" s="13"/>
      <c r="G28" s="13"/>
      <c r="H28" s="13"/>
      <c r="I28" s="13"/>
      <c r="J28" s="13"/>
      <c r="K28" s="13"/>
    </row>
    <row r="29" spans="1:11" ht="13.5">
      <c r="A29" s="511"/>
      <c r="B29" s="14"/>
      <c r="C29" s="14"/>
      <c r="D29" s="14"/>
      <c r="E29" s="15"/>
      <c r="F29" s="13"/>
      <c r="G29" s="13"/>
      <c r="H29" s="13"/>
      <c r="I29" s="13"/>
      <c r="J29" s="13"/>
      <c r="K29" s="13"/>
    </row>
    <row r="30" spans="1:11" ht="13.5">
      <c r="A30" s="511"/>
      <c r="B30" s="14"/>
      <c r="C30" s="14"/>
      <c r="D30" s="14"/>
      <c r="E30" s="15"/>
      <c r="F30" s="13"/>
      <c r="G30" s="13"/>
      <c r="H30" s="13"/>
      <c r="I30" s="13"/>
      <c r="J30" s="13"/>
      <c r="K30" s="13"/>
    </row>
    <row r="31" spans="1:11" ht="13.5">
      <c r="A31" s="511"/>
      <c r="B31" s="14"/>
      <c r="C31" s="14"/>
      <c r="D31" s="14"/>
      <c r="E31" s="15"/>
      <c r="F31" s="13"/>
      <c r="G31" s="13"/>
      <c r="H31" s="13"/>
      <c r="I31" s="13"/>
      <c r="J31" s="13"/>
      <c r="K31" s="13"/>
    </row>
    <row r="32" spans="1:11" ht="13.5">
      <c r="A32" s="511" t="s">
        <v>66</v>
      </c>
      <c r="B32" s="14"/>
      <c r="C32" s="14"/>
      <c r="D32" s="14"/>
      <c r="E32" s="15"/>
      <c r="F32" s="13"/>
      <c r="G32" s="13"/>
      <c r="H32" s="13"/>
      <c r="I32" s="13"/>
      <c r="J32" s="13"/>
      <c r="K32" s="13"/>
    </row>
    <row r="33" spans="1:11" ht="13.5">
      <c r="A33" s="511" t="s">
        <v>67</v>
      </c>
      <c r="B33" s="14">
        <v>2.5</v>
      </c>
      <c r="C33" s="14">
        <v>500</v>
      </c>
      <c r="D33" s="14"/>
      <c r="E33" s="15"/>
      <c r="F33" s="13"/>
      <c r="G33" s="13"/>
      <c r="H33" s="13"/>
      <c r="I33" s="13"/>
      <c r="J33" s="13"/>
      <c r="K33" s="13"/>
    </row>
    <row r="34" spans="1:11" ht="13.5">
      <c r="A34" s="511" t="s">
        <v>68</v>
      </c>
      <c r="B34" s="14"/>
      <c r="C34" s="14"/>
      <c r="D34" s="14"/>
      <c r="E34" s="15">
        <v>100</v>
      </c>
      <c r="F34" s="13"/>
      <c r="G34" s="13"/>
      <c r="H34" s="13"/>
      <c r="I34" s="13"/>
      <c r="J34" s="13"/>
      <c r="K34" s="13"/>
    </row>
    <row r="35" spans="1:11" ht="13.5">
      <c r="A35" s="511" t="s">
        <v>69</v>
      </c>
      <c r="B35" s="18">
        <v>0.5</v>
      </c>
      <c r="C35" s="14"/>
      <c r="D35" s="14"/>
      <c r="E35" s="15"/>
      <c r="F35" s="13"/>
      <c r="G35" s="13"/>
      <c r="H35" s="13"/>
      <c r="I35" s="13"/>
      <c r="J35" s="13"/>
      <c r="K35" s="13"/>
    </row>
    <row r="36" spans="1:11" ht="13.5">
      <c r="A36" s="511" t="s">
        <v>70</v>
      </c>
      <c r="B36" s="19">
        <v>0.3333</v>
      </c>
      <c r="C36" s="14"/>
      <c r="D36" s="14"/>
      <c r="E36" s="15"/>
      <c r="F36" s="13"/>
      <c r="G36" s="13"/>
      <c r="H36" s="13"/>
      <c r="I36" s="13"/>
      <c r="J36" s="13"/>
      <c r="K36" s="13"/>
    </row>
    <row r="37" spans="1:11" ht="13.5">
      <c r="A37" s="511" t="s">
        <v>71</v>
      </c>
      <c r="B37" s="14" t="s">
        <v>55</v>
      </c>
      <c r="C37" s="14" t="s">
        <v>54</v>
      </c>
      <c r="D37" s="14" t="s">
        <v>72</v>
      </c>
      <c r="E37" s="15"/>
      <c r="F37" s="13"/>
      <c r="G37" s="13"/>
      <c r="H37" s="13"/>
      <c r="I37" s="13"/>
      <c r="J37" s="13"/>
      <c r="K37" s="13"/>
    </row>
    <row r="38" spans="1:11" ht="13.5">
      <c r="A38" s="511"/>
      <c r="B38" s="14">
        <v>2500</v>
      </c>
      <c r="C38" s="14">
        <v>20</v>
      </c>
      <c r="D38" s="14">
        <v>750</v>
      </c>
      <c r="E38" s="15"/>
      <c r="F38" s="13"/>
      <c r="G38" s="13"/>
      <c r="H38" s="13"/>
      <c r="I38" s="13"/>
      <c r="J38" s="13"/>
      <c r="K38" s="13"/>
    </row>
    <row r="39" spans="1:11" ht="13.5">
      <c r="A39" s="511"/>
      <c r="B39" s="14">
        <v>5000</v>
      </c>
      <c r="C39" s="14">
        <v>25</v>
      </c>
      <c r="D39" s="14">
        <v>1500</v>
      </c>
      <c r="E39" s="15"/>
      <c r="F39" s="13"/>
      <c r="G39" s="13"/>
      <c r="H39" s="13"/>
      <c r="I39" s="13"/>
      <c r="J39" s="13"/>
      <c r="K39" s="13"/>
    </row>
    <row r="40" spans="1:11" ht="13.5">
      <c r="A40" s="511"/>
      <c r="B40" s="14">
        <v>7500</v>
      </c>
      <c r="C40" s="14">
        <v>30</v>
      </c>
      <c r="D40" s="14">
        <v>2000</v>
      </c>
      <c r="E40" s="15"/>
      <c r="F40" s="13"/>
      <c r="G40" s="13"/>
      <c r="H40" s="13"/>
      <c r="I40" s="13"/>
      <c r="J40" s="13"/>
      <c r="K40" s="13"/>
    </row>
    <row r="41" spans="1:11" ht="13.5">
      <c r="A41" s="511"/>
      <c r="B41" s="14">
        <v>15000</v>
      </c>
      <c r="C41" s="14">
        <v>35</v>
      </c>
      <c r="D41" s="14">
        <v>2500</v>
      </c>
      <c r="E41" s="15"/>
      <c r="F41" s="13"/>
      <c r="G41" s="13"/>
      <c r="H41" s="13"/>
      <c r="I41" s="13"/>
      <c r="J41" s="13"/>
      <c r="K41" s="13"/>
    </row>
    <row r="42" spans="1:11" ht="13.5">
      <c r="A42" s="509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13.5">
      <c r="A43" s="509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3.5">
      <c r="A44" s="509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3.5">
      <c r="A45" s="509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3.5">
      <c r="A46" s="509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13.5">
      <c r="A47" s="509"/>
      <c r="B47" s="13"/>
      <c r="C47" s="13"/>
      <c r="D47" s="13"/>
      <c r="E47" s="13"/>
      <c r="F47" s="13"/>
      <c r="G47" s="13"/>
      <c r="H47" s="13"/>
      <c r="I47" s="13"/>
      <c r="J47" s="13"/>
      <c r="K47" s="13"/>
    </row>
  </sheetData>
  <sheetProtection selectLockedCells="1" selectUnlockedCells="1"/>
  <mergeCells count="11">
    <mergeCell ref="D11:E11"/>
    <mergeCell ref="F11:G11"/>
    <mergeCell ref="A3:G3"/>
    <mergeCell ref="B17:C17"/>
    <mergeCell ref="D17:E17"/>
    <mergeCell ref="B4:G4"/>
    <mergeCell ref="B5:C5"/>
    <mergeCell ref="D5:E5"/>
    <mergeCell ref="F5:G5"/>
    <mergeCell ref="B10:G10"/>
    <mergeCell ref="B11:C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2">
      <selection activeCell="M5" sqref="M5"/>
    </sheetView>
  </sheetViews>
  <sheetFormatPr defaultColWidth="9.140625" defaultRowHeight="16.5" customHeight="1"/>
  <cols>
    <col min="1" max="1" width="31.28125" style="233" customWidth="1"/>
    <col min="2" max="2" width="8.57421875" style="233" customWidth="1"/>
    <col min="3" max="3" width="10.7109375" style="233" customWidth="1"/>
    <col min="4" max="4" width="3.7109375" style="233" customWidth="1"/>
    <col min="5" max="5" width="21.140625" style="233" customWidth="1"/>
    <col min="6" max="6" width="9.140625" style="233" customWidth="1"/>
    <col min="7" max="7" width="10.7109375" style="233" customWidth="1"/>
    <col min="8" max="8" width="3.57421875" style="233" customWidth="1"/>
    <col min="9" max="9" width="14.7109375" style="234" customWidth="1"/>
    <col min="10" max="10" width="2.7109375" style="234" customWidth="1"/>
    <col min="11" max="11" width="20.28125" style="234" customWidth="1"/>
    <col min="12" max="12" width="6.421875" style="235" bestFit="1" customWidth="1"/>
    <col min="13" max="13" width="6.8515625" style="235" bestFit="1" customWidth="1"/>
    <col min="14" max="14" width="8.7109375" style="233" customWidth="1"/>
    <col min="15" max="16384" width="9.140625" style="233" customWidth="1"/>
  </cols>
  <sheetData>
    <row r="1" spans="1:7" ht="16.5" customHeight="1">
      <c r="A1" s="691" t="s">
        <v>0</v>
      </c>
      <c r="B1" s="691"/>
      <c r="C1" s="691"/>
      <c r="D1" s="691"/>
      <c r="E1" s="691"/>
      <c r="F1" s="691"/>
      <c r="G1" s="691"/>
    </row>
    <row r="2" spans="1:9" ht="16.5" customHeight="1">
      <c r="A2" s="620" t="s">
        <v>221</v>
      </c>
      <c r="B2" s="620"/>
      <c r="C2" s="620" t="s">
        <v>119</v>
      </c>
      <c r="D2" s="620"/>
      <c r="E2" s="620"/>
      <c r="F2" s="620"/>
      <c r="G2" s="620"/>
      <c r="I2" s="702" t="s">
        <v>192</v>
      </c>
    </row>
    <row r="3" spans="1:13" ht="16.5" customHeight="1">
      <c r="A3" s="522" t="s">
        <v>235</v>
      </c>
      <c r="B3" s="616"/>
      <c r="C3" s="617"/>
      <c r="D3" s="617"/>
      <c r="E3" s="617"/>
      <c r="F3" s="617"/>
      <c r="G3" s="618"/>
      <c r="I3" s="702"/>
      <c r="L3" s="236"/>
      <c r="M3" s="236"/>
    </row>
    <row r="4" spans="1:7" ht="16.5" customHeight="1">
      <c r="A4" s="522" t="s">
        <v>234</v>
      </c>
      <c r="B4" s="616"/>
      <c r="C4" s="617"/>
      <c r="D4" s="617"/>
      <c r="E4" s="617"/>
      <c r="F4" s="617"/>
      <c r="G4" s="618"/>
    </row>
    <row r="5" spans="1:7" ht="16.5" customHeight="1">
      <c r="A5" s="703" t="s">
        <v>76</v>
      </c>
      <c r="B5" s="703"/>
      <c r="C5" s="703"/>
      <c r="D5" s="703"/>
      <c r="E5" s="703"/>
      <c r="F5" s="703"/>
      <c r="G5" s="703"/>
    </row>
    <row r="6" spans="1:7" ht="16.5" customHeight="1">
      <c r="A6" s="704" t="s">
        <v>134</v>
      </c>
      <c r="B6" s="704"/>
      <c r="C6" s="343">
        <v>110000</v>
      </c>
      <c r="D6" s="344"/>
      <c r="E6" s="704" t="s">
        <v>80</v>
      </c>
      <c r="F6" s="704"/>
      <c r="G6" s="345">
        <v>2016</v>
      </c>
    </row>
    <row r="7" spans="1:7" ht="16.5" customHeight="1">
      <c r="A7" s="704" t="s">
        <v>87</v>
      </c>
      <c r="B7" s="704"/>
      <c r="C7" s="343">
        <v>0</v>
      </c>
      <c r="D7" s="344"/>
      <c r="E7" s="704" t="s">
        <v>157</v>
      </c>
      <c r="F7" s="704"/>
      <c r="G7" s="345">
        <v>6</v>
      </c>
    </row>
    <row r="8" spans="1:13" s="237" customFormat="1" ht="16.5" customHeight="1">
      <c r="A8" s="704" t="s">
        <v>137</v>
      </c>
      <c r="B8" s="704"/>
      <c r="C8" s="343">
        <v>0</v>
      </c>
      <c r="D8" s="344"/>
      <c r="E8" s="705" t="s">
        <v>40</v>
      </c>
      <c r="F8" s="705"/>
      <c r="G8" s="346" t="s">
        <v>91</v>
      </c>
      <c r="I8" s="238"/>
      <c r="J8" s="239"/>
      <c r="K8" s="239"/>
      <c r="L8" s="235"/>
      <c r="M8" s="235"/>
    </row>
    <row r="9" spans="1:12" ht="16.5" customHeight="1">
      <c r="A9" s="705" t="s">
        <v>138</v>
      </c>
      <c r="B9" s="705"/>
      <c r="C9" s="705"/>
      <c r="D9" s="705"/>
      <c r="E9" s="705"/>
      <c r="F9" s="705"/>
      <c r="G9" s="705"/>
      <c r="I9" s="238"/>
      <c r="J9" s="239"/>
      <c r="K9" s="239"/>
      <c r="L9" s="240"/>
    </row>
    <row r="10" spans="1:12" ht="16.5" customHeight="1">
      <c r="A10" s="703" t="s">
        <v>83</v>
      </c>
      <c r="B10" s="703"/>
      <c r="C10" s="703"/>
      <c r="D10" s="347"/>
      <c r="E10" s="703" t="s">
        <v>84</v>
      </c>
      <c r="F10" s="703"/>
      <c r="G10" s="703"/>
      <c r="I10" s="238"/>
      <c r="J10" s="239"/>
      <c r="K10" s="239"/>
      <c r="L10" s="240"/>
    </row>
    <row r="11" spans="1:12" ht="16.5" customHeight="1">
      <c r="A11" s="348" t="s">
        <v>139</v>
      </c>
      <c r="B11" s="349"/>
      <c r="C11" s="338">
        <f>Database1!G18</f>
        <v>1386</v>
      </c>
      <c r="D11" s="347"/>
      <c r="E11" s="348" t="s">
        <v>46</v>
      </c>
      <c r="F11" s="350"/>
      <c r="G11" s="338">
        <f>SUM(Database1!G19)</f>
        <v>2595</v>
      </c>
      <c r="I11" s="238"/>
      <c r="J11" s="239"/>
      <c r="K11" s="239"/>
      <c r="L11" s="240"/>
    </row>
    <row r="12" spans="1:12" ht="16.5" customHeight="1">
      <c r="A12" s="348" t="s">
        <v>87</v>
      </c>
      <c r="B12" s="350"/>
      <c r="C12" s="338">
        <f>C7*0.04</f>
        <v>0</v>
      </c>
      <c r="D12" s="347"/>
      <c r="E12" s="348" t="s">
        <v>142</v>
      </c>
      <c r="F12" s="350"/>
      <c r="G12" s="338">
        <f>IF(C8&gt;0,60,0)</f>
        <v>0</v>
      </c>
      <c r="I12" s="238"/>
      <c r="J12" s="239"/>
      <c r="K12" s="239"/>
      <c r="L12" s="240"/>
    </row>
    <row r="13" spans="1:12" ht="16.5" customHeight="1">
      <c r="A13" s="348" t="s">
        <v>57</v>
      </c>
      <c r="B13" s="350"/>
      <c r="C13" s="338">
        <f>IF(C8&gt;0,C8*4/100,0)</f>
        <v>0</v>
      </c>
      <c r="D13" s="347"/>
      <c r="E13" s="348" t="s">
        <v>158</v>
      </c>
      <c r="F13" s="350"/>
      <c r="G13" s="338">
        <f>G7*1241</f>
        <v>7446</v>
      </c>
      <c r="I13" s="238"/>
      <c r="J13" s="239"/>
      <c r="K13" s="239"/>
      <c r="L13" s="240"/>
    </row>
    <row r="14" spans="1:12" ht="16.5" customHeight="1">
      <c r="A14" s="351" t="s">
        <v>92</v>
      </c>
      <c r="B14" s="352"/>
      <c r="C14" s="342">
        <f>SUM(C11:C13)</f>
        <v>1386</v>
      </c>
      <c r="D14" s="347"/>
      <c r="E14" s="351" t="s">
        <v>143</v>
      </c>
      <c r="F14" s="352"/>
      <c r="G14" s="342">
        <f>SUM(G11:G13)</f>
        <v>10041</v>
      </c>
      <c r="I14" s="238"/>
      <c r="J14" s="239"/>
      <c r="K14" s="239"/>
      <c r="L14" s="240"/>
    </row>
    <row r="15" spans="1:12" ht="16.5" customHeight="1">
      <c r="A15" s="348" t="s">
        <v>144</v>
      </c>
      <c r="B15" s="346" t="s">
        <v>35</v>
      </c>
      <c r="C15" s="338">
        <f>IF(B15="Yes",(C11+C12+C13)*0.15,0)</f>
        <v>0</v>
      </c>
      <c r="D15" s="347"/>
      <c r="E15" s="348" t="s">
        <v>126</v>
      </c>
      <c r="F15" s="346" t="s">
        <v>88</v>
      </c>
      <c r="G15" s="338">
        <f>IF(F15="Yes",50*F16,0)</f>
        <v>50</v>
      </c>
      <c r="I15" s="238"/>
      <c r="J15" s="239"/>
      <c r="K15" s="239"/>
      <c r="L15" s="240"/>
    </row>
    <row r="16" spans="1:12" ht="16.5" customHeight="1">
      <c r="A16" s="348" t="s">
        <v>95</v>
      </c>
      <c r="B16" s="353" t="s">
        <v>35</v>
      </c>
      <c r="C16" s="338">
        <f>C6*A48/10</f>
        <v>0</v>
      </c>
      <c r="D16" s="347"/>
      <c r="E16" s="348" t="s">
        <v>159</v>
      </c>
      <c r="F16" s="346">
        <v>1</v>
      </c>
      <c r="G16" s="338"/>
      <c r="I16" s="238"/>
      <c r="J16" s="239"/>
      <c r="K16" s="239"/>
      <c r="L16" s="241"/>
    </row>
    <row r="17" spans="1:12" ht="16.5" customHeight="1">
      <c r="A17" s="153" t="s">
        <v>146</v>
      </c>
      <c r="B17" s="185">
        <v>0</v>
      </c>
      <c r="C17" s="162">
        <f>(C14)*B17</f>
        <v>0</v>
      </c>
      <c r="D17" s="347"/>
      <c r="E17" s="348"/>
      <c r="F17" s="346"/>
      <c r="G17" s="338"/>
      <c r="I17" s="238"/>
      <c r="J17" s="239"/>
      <c r="K17" s="239"/>
      <c r="L17" s="240"/>
    </row>
    <row r="18" spans="1:12" ht="16.5" customHeight="1">
      <c r="A18" s="348" t="s">
        <v>156</v>
      </c>
      <c r="B18" s="346" t="s">
        <v>35</v>
      </c>
      <c r="C18" s="338">
        <f>IF(B18="Yes",C14*0.3,0)</f>
        <v>0</v>
      </c>
      <c r="D18" s="347"/>
      <c r="E18" s="354" t="s">
        <v>125</v>
      </c>
      <c r="F18" s="346" t="s">
        <v>88</v>
      </c>
      <c r="G18" s="338">
        <f>IF(F18="Yes",750,0)</f>
        <v>750</v>
      </c>
      <c r="I18" s="238"/>
      <c r="J18" s="239"/>
      <c r="K18" s="239"/>
      <c r="L18" s="240"/>
    </row>
    <row r="19" spans="1:12" ht="16.5" customHeight="1">
      <c r="A19" s="348" t="s">
        <v>129</v>
      </c>
      <c r="B19" s="346" t="s">
        <v>35</v>
      </c>
      <c r="C19" s="338">
        <f>IF(B19="Yes",50,0)</f>
        <v>0</v>
      </c>
      <c r="D19" s="347"/>
      <c r="E19" s="348" t="s">
        <v>96</v>
      </c>
      <c r="F19" s="350"/>
      <c r="G19" s="338"/>
      <c r="I19" s="238"/>
      <c r="J19" s="239"/>
      <c r="K19" s="239"/>
      <c r="L19" s="240"/>
    </row>
    <row r="20" spans="1:12" ht="16.5" customHeight="1">
      <c r="A20" s="348" t="s">
        <v>96</v>
      </c>
      <c r="B20" s="348"/>
      <c r="C20" s="348"/>
      <c r="D20" s="347"/>
      <c r="E20" s="355"/>
      <c r="F20" s="356"/>
      <c r="G20" s="357"/>
      <c r="I20" s="238"/>
      <c r="J20" s="239"/>
      <c r="K20" s="239"/>
      <c r="L20" s="240"/>
    </row>
    <row r="21" spans="1:12" ht="16.5" customHeight="1">
      <c r="A21" s="358" t="s">
        <v>131</v>
      </c>
      <c r="B21" s="359"/>
      <c r="C21" s="360">
        <f>SUM(C14:C19)</f>
        <v>1386</v>
      </c>
      <c r="D21" s="347"/>
      <c r="E21" s="358" t="s">
        <v>149</v>
      </c>
      <c r="F21" s="359"/>
      <c r="G21" s="360">
        <f>SUM(G14,G15,G18,G19)</f>
        <v>10841</v>
      </c>
      <c r="I21" s="238"/>
      <c r="J21" s="239"/>
      <c r="K21" s="239"/>
      <c r="L21" s="240"/>
    </row>
    <row r="22" spans="1:7" ht="16.5" customHeight="1">
      <c r="A22" s="348" t="s">
        <v>150</v>
      </c>
      <c r="B22" s="350"/>
      <c r="C22" s="338"/>
      <c r="D22" s="347"/>
      <c r="E22" s="348" t="s">
        <v>68</v>
      </c>
      <c r="F22" s="182">
        <v>750000</v>
      </c>
      <c r="G22" s="338">
        <f>IF(F22=750000,0,150)</f>
        <v>0</v>
      </c>
    </row>
    <row r="23" spans="1:7" ht="16.5" customHeight="1">
      <c r="A23" s="348" t="s">
        <v>67</v>
      </c>
      <c r="B23" s="346" t="s">
        <v>35</v>
      </c>
      <c r="C23" s="338">
        <f>IF(B23="Yes",MIN(C21*0.025,500),0)</f>
        <v>0</v>
      </c>
      <c r="D23" s="347"/>
      <c r="E23" s="348"/>
      <c r="F23" s="348"/>
      <c r="G23" s="348"/>
    </row>
    <row r="24" spans="1:7" ht="16.5" customHeight="1">
      <c r="A24" s="348" t="s">
        <v>62</v>
      </c>
      <c r="B24" s="346" t="s">
        <v>35</v>
      </c>
      <c r="C24" s="338">
        <f>IF(B24="Yes",MIN(C21*0.05,200),0)</f>
        <v>0</v>
      </c>
      <c r="D24" s="347"/>
      <c r="E24" s="348"/>
      <c r="F24" s="350"/>
      <c r="G24" s="338"/>
    </row>
    <row r="25" spans="1:7" ht="16.5" customHeight="1">
      <c r="A25" s="348" t="s">
        <v>133</v>
      </c>
      <c r="B25" s="346" t="s">
        <v>35</v>
      </c>
      <c r="C25" s="338">
        <f>IF(B25="Yes",C21*(1/3),0)</f>
        <v>0</v>
      </c>
      <c r="D25" s="347"/>
      <c r="E25" s="348"/>
      <c r="F25" s="350"/>
      <c r="G25" s="338"/>
    </row>
    <row r="26" spans="1:7" ht="16.5" customHeight="1">
      <c r="A26" s="361" t="s">
        <v>151</v>
      </c>
      <c r="B26" s="362"/>
      <c r="C26" s="363">
        <f>C21-SUM(C23:C25)</f>
        <v>1386</v>
      </c>
      <c r="D26" s="347"/>
      <c r="E26" s="364"/>
      <c r="F26" s="362"/>
      <c r="G26" s="363"/>
    </row>
    <row r="27" spans="1:7" ht="16.5" customHeight="1">
      <c r="A27" s="348" t="s">
        <v>73</v>
      </c>
      <c r="B27" s="365">
        <v>0</v>
      </c>
      <c r="C27" s="338">
        <f>(C26-C28-C29)*B27</f>
        <v>0</v>
      </c>
      <c r="D27" s="347"/>
      <c r="E27" s="366"/>
      <c r="F27" s="350"/>
      <c r="G27" s="338"/>
    </row>
    <row r="28" spans="1:7" ht="16.5" customHeight="1">
      <c r="A28" s="348" t="s">
        <v>108</v>
      </c>
      <c r="B28" s="367">
        <v>0.4</v>
      </c>
      <c r="C28" s="338">
        <f>(C14+C15+C16)*B28</f>
        <v>554.4</v>
      </c>
      <c r="D28" s="347"/>
      <c r="E28" s="366"/>
      <c r="F28" s="350"/>
      <c r="G28" s="338"/>
    </row>
    <row r="29" spans="1:7" ht="16.5" customHeight="1">
      <c r="A29" s="153" t="s">
        <v>197</v>
      </c>
      <c r="B29" s="367">
        <v>0</v>
      </c>
      <c r="C29" s="440">
        <f>C17*B29</f>
        <v>0</v>
      </c>
      <c r="D29" s="347"/>
      <c r="E29" s="366"/>
      <c r="F29" s="350"/>
      <c r="G29" s="338"/>
    </row>
    <row r="30" spans="1:7" ht="16.5" customHeight="1">
      <c r="A30" s="703" t="s">
        <v>109</v>
      </c>
      <c r="B30" s="703"/>
      <c r="C30" s="341">
        <f>C26-C27-C28-C29</f>
        <v>831.6</v>
      </c>
      <c r="D30" s="347"/>
      <c r="E30" s="703" t="s">
        <v>110</v>
      </c>
      <c r="F30" s="703"/>
      <c r="G30" s="342">
        <f>G21-G22+G28</f>
        <v>10841</v>
      </c>
    </row>
    <row r="31" spans="1:7" ht="16.5" customHeight="1">
      <c r="A31" s="238"/>
      <c r="B31" s="238"/>
      <c r="C31" s="242"/>
      <c r="D31" s="243"/>
      <c r="E31" s="238"/>
      <c r="F31" s="238"/>
      <c r="G31" s="244"/>
    </row>
    <row r="32" spans="1:7" ht="16.5" customHeight="1">
      <c r="A32" s="245"/>
      <c r="B32" s="246"/>
      <c r="C32" s="245"/>
      <c r="D32" s="243"/>
      <c r="E32" s="247"/>
      <c r="F32" s="245"/>
      <c r="G32" s="248"/>
    </row>
    <row r="33" spans="1:7" ht="16.5" customHeight="1">
      <c r="A33" s="598" t="s">
        <v>201</v>
      </c>
      <c r="B33" s="706" t="s">
        <v>113</v>
      </c>
      <c r="C33" s="706"/>
      <c r="D33" s="706"/>
      <c r="E33" s="334" t="s">
        <v>111</v>
      </c>
      <c r="F33" s="335" t="s">
        <v>112</v>
      </c>
      <c r="G33" s="336" t="s">
        <v>36</v>
      </c>
    </row>
    <row r="34" spans="1:7" ht="16.5" customHeight="1">
      <c r="A34" s="598"/>
      <c r="B34" s="706"/>
      <c r="C34" s="706"/>
      <c r="D34" s="706"/>
      <c r="E34" s="337">
        <f>C30</f>
        <v>831.6</v>
      </c>
      <c r="F34" s="338">
        <f>G30</f>
        <v>10841</v>
      </c>
      <c r="G34" s="339">
        <f>SUM(E34:F34)</f>
        <v>11672.6</v>
      </c>
    </row>
    <row r="35" spans="1:13" s="250" customFormat="1" ht="16.5" customHeight="1">
      <c r="A35" s="598"/>
      <c r="B35" s="655" t="s">
        <v>209</v>
      </c>
      <c r="C35" s="656"/>
      <c r="D35" s="656"/>
      <c r="E35" s="340">
        <f>E34*HyperLink!B21</f>
        <v>149.688</v>
      </c>
      <c r="F35" s="340">
        <f>F34*HyperLink!B21</f>
        <v>1951.3799999999999</v>
      </c>
      <c r="G35" s="340">
        <f>G34*HyperLink!B21</f>
        <v>2101.068</v>
      </c>
      <c r="I35" s="251"/>
      <c r="J35" s="251"/>
      <c r="K35" s="251"/>
      <c r="L35" s="235"/>
      <c r="M35" s="235"/>
    </row>
    <row r="36" spans="1:13" s="250" customFormat="1" ht="16.5" customHeight="1">
      <c r="A36" s="598"/>
      <c r="B36" s="703" t="s">
        <v>114</v>
      </c>
      <c r="C36" s="703"/>
      <c r="D36" s="703"/>
      <c r="E36" s="341">
        <f>SUM(E34:E35)</f>
        <v>981.288</v>
      </c>
      <c r="F36" s="341">
        <f>SUM(F34:F35)</f>
        <v>12792.38</v>
      </c>
      <c r="G36" s="342">
        <f>SUM(G34:G35)</f>
        <v>13773.668000000001</v>
      </c>
      <c r="I36" s="251"/>
      <c r="J36" s="251"/>
      <c r="K36" s="251"/>
      <c r="L36" s="235"/>
      <c r="M36" s="235"/>
    </row>
    <row r="37" ht="16.5" customHeight="1">
      <c r="G37" s="249"/>
    </row>
    <row r="38" spans="4:5" ht="16.5" customHeight="1">
      <c r="D38" s="250"/>
      <c r="E38" s="252"/>
    </row>
    <row r="43" ht="15.75"/>
    <row r="44" ht="15.75"/>
    <row r="45" ht="15.75" hidden="1"/>
    <row r="46" ht="15.75" hidden="1"/>
    <row r="47" spans="1:2" ht="16.5" customHeight="1">
      <c r="A47" s="253" t="s">
        <v>54</v>
      </c>
      <c r="B47" s="253" t="s">
        <v>119</v>
      </c>
    </row>
    <row r="48" spans="1:2" ht="16.5" customHeight="1">
      <c r="A48" s="253" t="b">
        <f>IF(B16="Yes",IF(B48=0,4.5%,IF(B48=1,5.5%,IF(B48=2,7%,0))))</f>
        <v>0</v>
      </c>
      <c r="B48" s="254">
        <f ca="1">YEAR(TODAY())-(G6)</f>
        <v>2</v>
      </c>
    </row>
  </sheetData>
  <sheetProtection/>
  <mergeCells count="22">
    <mergeCell ref="A30:B30"/>
    <mergeCell ref="E30:F30"/>
    <mergeCell ref="B33:D33"/>
    <mergeCell ref="B34:D34"/>
    <mergeCell ref="B35:D35"/>
    <mergeCell ref="B36:D36"/>
    <mergeCell ref="A33:A36"/>
    <mergeCell ref="A7:B7"/>
    <mergeCell ref="E7:F7"/>
    <mergeCell ref="A8:B8"/>
    <mergeCell ref="E8:F8"/>
    <mergeCell ref="A9:G9"/>
    <mergeCell ref="A10:C10"/>
    <mergeCell ref="E10:G10"/>
    <mergeCell ref="A1:G1"/>
    <mergeCell ref="A2:G2"/>
    <mergeCell ref="I2:I3"/>
    <mergeCell ref="A5:G5"/>
    <mergeCell ref="A6:B6"/>
    <mergeCell ref="E6:F6"/>
    <mergeCell ref="B3:G3"/>
    <mergeCell ref="B4:G4"/>
  </mergeCells>
  <dataValidations count="6">
    <dataValidation type="list" allowBlank="1" showErrorMessage="1" sqref="F22">
      <formula1>"750000,6000"</formula1>
      <formula2>0</formula2>
    </dataValidation>
    <dataValidation type="list" allowBlank="1" showErrorMessage="1" sqref="B13 B23:B25 F18 B18:B19 F15 B15:B16">
      <formula1>"Yes,No"</formula1>
      <formula2>0</formula2>
    </dataValidation>
    <dataValidation type="list" allowBlank="1" showErrorMessage="1" sqref="B27">
      <formula1>"0%,20%,25%,35%,45%,50%,"</formula1>
      <formula2>0</formula2>
    </dataValidation>
    <dataValidation type="list" allowBlank="1" showErrorMessage="1" sqref="G8">
      <formula1>"A,B,C"</formula1>
      <formula2>0</formula2>
    </dataValidation>
    <dataValidation type="list" allowBlank="1" showErrorMessage="1" sqref="B17">
      <formula1>"0,20%,25%,40%"</formula1>
    </dataValidation>
    <dataValidation allowBlank="1" showErrorMessage="1" sqref="B29">
      <formula1>0</formula1>
      <formula2>0</formula2>
    </dataValidation>
  </dataValidations>
  <hyperlinks>
    <hyperlink ref="I2:I3" location="HyperLink!A1" display="BACK  "/>
  </hyperlinks>
  <printOptions/>
  <pageMargins left="0.7479166666666667" right="0.2701388888888889" top="0.9840277777777777" bottom="0.9840277777777777" header="0.5118055555555555" footer="0.511805555555555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3">
      <selection activeCell="G18" sqref="G18"/>
    </sheetView>
  </sheetViews>
  <sheetFormatPr defaultColWidth="9.140625" defaultRowHeight="14.25" customHeight="1"/>
  <cols>
    <col min="1" max="1" width="27.8515625" style="64" customWidth="1"/>
    <col min="2" max="2" width="8.421875" style="64" customWidth="1"/>
    <col min="3" max="3" width="11.7109375" style="64" customWidth="1"/>
    <col min="4" max="4" width="2.28125" style="64" customWidth="1"/>
    <col min="5" max="5" width="23.7109375" style="64" customWidth="1"/>
    <col min="6" max="6" width="11.140625" style="64" customWidth="1"/>
    <col min="7" max="7" width="11.7109375" style="64" customWidth="1"/>
    <col min="8" max="8" width="2.57421875" style="64" customWidth="1"/>
    <col min="9" max="9" width="5.7109375" style="64" customWidth="1"/>
    <col min="10" max="10" width="7.57421875" style="64" customWidth="1"/>
    <col min="11" max="11" width="4.00390625" style="64" customWidth="1"/>
    <col min="12" max="12" width="19.8515625" style="64" customWidth="1"/>
    <col min="13" max="16384" width="9.140625" style="64" customWidth="1"/>
  </cols>
  <sheetData>
    <row r="1" spans="1:7" ht="14.25" customHeight="1">
      <c r="A1" s="712" t="s">
        <v>0</v>
      </c>
      <c r="B1" s="712"/>
      <c r="C1" s="712"/>
      <c r="D1" s="712"/>
      <c r="E1" s="712"/>
      <c r="F1" s="712"/>
      <c r="G1" s="712"/>
    </row>
    <row r="2" spans="1:10" ht="14.25" customHeight="1">
      <c r="A2" s="713" t="s">
        <v>228</v>
      </c>
      <c r="B2" s="713"/>
      <c r="C2" s="713"/>
      <c r="D2" s="713"/>
      <c r="E2" s="713"/>
      <c r="F2" s="713"/>
      <c r="G2" s="713"/>
      <c r="I2" s="707" t="s">
        <v>27</v>
      </c>
      <c r="J2" s="707"/>
    </row>
    <row r="3" spans="1:10" ht="14.25" customHeight="1">
      <c r="A3" s="526" t="s">
        <v>235</v>
      </c>
      <c r="B3" s="709"/>
      <c r="C3" s="710"/>
      <c r="D3" s="710"/>
      <c r="E3" s="710"/>
      <c r="F3" s="710"/>
      <c r="G3" s="711"/>
      <c r="I3" s="707"/>
      <c r="J3" s="707"/>
    </row>
    <row r="4" spans="1:7" ht="14.25" customHeight="1">
      <c r="A4" s="526" t="s">
        <v>234</v>
      </c>
      <c r="B4" s="709"/>
      <c r="C4" s="710"/>
      <c r="D4" s="710"/>
      <c r="E4" s="710"/>
      <c r="F4" s="710"/>
      <c r="G4" s="711"/>
    </row>
    <row r="5" spans="1:7" ht="14.25" customHeight="1">
      <c r="A5" s="708" t="s">
        <v>76</v>
      </c>
      <c r="B5" s="708"/>
      <c r="C5" s="708"/>
      <c r="D5" s="708"/>
      <c r="E5" s="708"/>
      <c r="F5" s="708"/>
      <c r="G5" s="708"/>
    </row>
    <row r="6" spans="1:7" ht="14.25" customHeight="1">
      <c r="A6" s="673" t="s">
        <v>77</v>
      </c>
      <c r="B6" s="673"/>
      <c r="C6" s="198">
        <v>500000</v>
      </c>
      <c r="D6" s="673"/>
      <c r="E6" s="673" t="s">
        <v>80</v>
      </c>
      <c r="F6" s="673"/>
      <c r="G6" s="200">
        <v>2014</v>
      </c>
    </row>
    <row r="7" spans="1:7" ht="14.25" customHeight="1">
      <c r="A7" s="673" t="s">
        <v>78</v>
      </c>
      <c r="B7" s="673"/>
      <c r="C7" s="198">
        <v>0</v>
      </c>
      <c r="D7" s="673"/>
      <c r="E7" s="674" t="s">
        <v>40</v>
      </c>
      <c r="F7" s="674"/>
      <c r="G7" s="157" t="s">
        <v>51</v>
      </c>
    </row>
    <row r="8" spans="1:7" ht="14.25" customHeight="1">
      <c r="A8" s="673" t="s">
        <v>79</v>
      </c>
      <c r="B8" s="673"/>
      <c r="C8" s="198">
        <v>0</v>
      </c>
      <c r="D8" s="673"/>
      <c r="E8" s="673" t="s">
        <v>121</v>
      </c>
      <c r="F8" s="673"/>
      <c r="G8" s="157">
        <v>1400</v>
      </c>
    </row>
    <row r="9" spans="1:12" s="71" customFormat="1" ht="14.25" customHeight="1">
      <c r="A9" s="673" t="s">
        <v>58</v>
      </c>
      <c r="B9" s="673"/>
      <c r="C9" s="198">
        <v>0</v>
      </c>
      <c r="D9" s="673"/>
      <c r="E9" s="318"/>
      <c r="F9" s="318"/>
      <c r="G9" s="318"/>
      <c r="J9" s="64"/>
      <c r="K9" s="64"/>
      <c r="L9" s="64"/>
    </row>
    <row r="10" spans="1:7" ht="14.25" customHeight="1">
      <c r="A10" s="715" t="s">
        <v>138</v>
      </c>
      <c r="B10" s="715"/>
      <c r="C10" s="715"/>
      <c r="D10" s="715"/>
      <c r="E10" s="715"/>
      <c r="F10" s="715"/>
      <c r="G10" s="715"/>
    </row>
    <row r="11" spans="1:7" ht="14.25" customHeight="1">
      <c r="A11" s="708" t="s">
        <v>83</v>
      </c>
      <c r="B11" s="708"/>
      <c r="C11" s="708"/>
      <c r="D11" s="716"/>
      <c r="E11" s="708" t="s">
        <v>84</v>
      </c>
      <c r="F11" s="708"/>
      <c r="G11" s="708"/>
    </row>
    <row r="12" spans="1:7" ht="14.25" customHeight="1">
      <c r="A12" s="319" t="s">
        <v>139</v>
      </c>
      <c r="B12" s="320"/>
      <c r="C12" s="321">
        <f>+C6*PCCVCAL!B8/100</f>
        <v>16755</v>
      </c>
      <c r="D12" s="716"/>
      <c r="E12" s="319" t="s">
        <v>46</v>
      </c>
      <c r="F12" s="320"/>
      <c r="G12" s="321">
        <f>PCCVCAL!B11</f>
        <v>7147</v>
      </c>
    </row>
    <row r="13" spans="1:12" s="70" customFormat="1" ht="13.5" customHeight="1">
      <c r="A13" s="199" t="s">
        <v>87</v>
      </c>
      <c r="B13" s="201"/>
      <c r="C13" s="158">
        <f>4%*C7</f>
        <v>0</v>
      </c>
      <c r="D13" s="716"/>
      <c r="E13" s="199" t="s">
        <v>58</v>
      </c>
      <c r="F13" s="201"/>
      <c r="G13" s="158">
        <f>IF(B19="Yes",125,0)</f>
        <v>0</v>
      </c>
      <c r="J13" s="64"/>
      <c r="K13" s="64"/>
      <c r="L13" s="64"/>
    </row>
    <row r="14" spans="1:7" ht="14.25" customHeight="1">
      <c r="A14" s="319" t="s">
        <v>142</v>
      </c>
      <c r="B14" s="320"/>
      <c r="C14" s="321">
        <f>IF(C8&gt;0,4%*C8,0)</f>
        <v>0</v>
      </c>
      <c r="D14" s="716"/>
      <c r="E14" s="319" t="s">
        <v>142</v>
      </c>
      <c r="F14" s="320"/>
      <c r="G14" s="321">
        <f>IF(C8&gt;0,60,0)</f>
        <v>0</v>
      </c>
    </row>
    <row r="15" spans="1:7" ht="14.25" customHeight="1">
      <c r="A15" s="322" t="s">
        <v>92</v>
      </c>
      <c r="B15" s="323"/>
      <c r="C15" s="219">
        <f>SUM(C12+C13+C14)</f>
        <v>16755</v>
      </c>
      <c r="D15" s="716"/>
      <c r="E15" s="322" t="s">
        <v>93</v>
      </c>
      <c r="F15" s="323"/>
      <c r="G15" s="219">
        <f>SUM(G12:G14)</f>
        <v>7147</v>
      </c>
    </row>
    <row r="16" spans="1:7" ht="14.25" customHeight="1">
      <c r="A16" s="324" t="s">
        <v>146</v>
      </c>
      <c r="B16" s="185">
        <v>0.4</v>
      </c>
      <c r="C16" s="326">
        <f>SUM((C15+C19+C23+C21)*B16)</f>
        <v>6702</v>
      </c>
      <c r="D16" s="716"/>
      <c r="E16" s="199" t="s">
        <v>160</v>
      </c>
      <c r="F16" s="157" t="s">
        <v>88</v>
      </c>
      <c r="G16" s="158">
        <f>IF(F16="Yes",750,0)</f>
        <v>750</v>
      </c>
    </row>
    <row r="17" spans="1:7" ht="14.25" customHeight="1">
      <c r="A17" s="153"/>
      <c r="B17" s="182"/>
      <c r="C17" s="327"/>
      <c r="D17" s="716"/>
      <c r="E17" s="199" t="s">
        <v>128</v>
      </c>
      <c r="F17" s="157">
        <v>4</v>
      </c>
      <c r="G17" s="328">
        <f>IF(G8&lt;=1000,"1046",IF(G8&lt;=1500,"880",IF(G8&gt;=1500,"1006")))*F17</f>
        <v>3520</v>
      </c>
    </row>
    <row r="18" spans="1:7" ht="14.25" customHeight="1">
      <c r="A18" s="153" t="s">
        <v>95</v>
      </c>
      <c r="B18" s="152" t="s">
        <v>35</v>
      </c>
      <c r="C18" s="162">
        <f>C6*A48/10</f>
        <v>0</v>
      </c>
      <c r="D18" s="716"/>
      <c r="E18" s="207">
        <f>IF(F17="Yes","No of Seats/Limit Per Person","")</f>
      </c>
      <c r="F18" s="201"/>
      <c r="G18" s="329"/>
    </row>
    <row r="19" spans="1:7" ht="14.25" customHeight="1">
      <c r="A19" s="199" t="s">
        <v>58</v>
      </c>
      <c r="B19" s="157" t="s">
        <v>35</v>
      </c>
      <c r="C19" s="158">
        <f>IF(B19="Yes",50+(0.5%*C9),0)</f>
        <v>0</v>
      </c>
      <c r="D19" s="716"/>
      <c r="E19" s="199" t="s">
        <v>126</v>
      </c>
      <c r="F19" s="157" t="s">
        <v>88</v>
      </c>
      <c r="G19" s="158">
        <f>IF(F19="Yes",50*F20,0)</f>
        <v>50</v>
      </c>
    </row>
    <row r="20" spans="1:7" ht="14.25" customHeight="1">
      <c r="A20" s="199" t="s">
        <v>156</v>
      </c>
      <c r="B20" s="157" t="s">
        <v>35</v>
      </c>
      <c r="C20" s="158">
        <f>IF(B20="yes",30%*C15,0)</f>
        <v>0</v>
      </c>
      <c r="D20" s="716"/>
      <c r="E20" s="207" t="str">
        <f>IF(F19="Yes","No of Driver/Employees","")</f>
        <v>No of Driver/Employees</v>
      </c>
      <c r="F20" s="157">
        <v>1</v>
      </c>
      <c r="G20" s="330"/>
    </row>
    <row r="21" spans="1:7" ht="14.25" customHeight="1">
      <c r="A21" s="199" t="s">
        <v>129</v>
      </c>
      <c r="B21" s="157" t="s">
        <v>35</v>
      </c>
      <c r="C21" s="158">
        <f>IF(B21="Yes",50,0)</f>
        <v>0</v>
      </c>
      <c r="D21" s="716"/>
      <c r="E21" s="199" t="s">
        <v>96</v>
      </c>
      <c r="F21" s="201"/>
      <c r="G21" s="158">
        <f>IF(B22="Yes",500,0)</f>
        <v>0</v>
      </c>
    </row>
    <row r="22" spans="1:7" ht="14.25" customHeight="1">
      <c r="A22" s="199" t="s">
        <v>130</v>
      </c>
      <c r="B22" s="157" t="s">
        <v>35</v>
      </c>
      <c r="C22" s="158">
        <f>IF(B22="Yes",60%*C15,0)</f>
        <v>0</v>
      </c>
      <c r="D22" s="716"/>
      <c r="E22" s="199"/>
      <c r="F22" s="201"/>
      <c r="G22" s="158"/>
    </row>
    <row r="23" spans="1:7" ht="14.25" customHeight="1">
      <c r="A23" s="199" t="s">
        <v>96</v>
      </c>
      <c r="B23" s="157" t="s">
        <v>35</v>
      </c>
      <c r="C23" s="158">
        <f>IF(B23="Yes",400,0)</f>
        <v>0</v>
      </c>
      <c r="D23" s="716"/>
      <c r="E23" s="199"/>
      <c r="F23" s="199"/>
      <c r="G23" s="199"/>
    </row>
    <row r="24" spans="1:7" ht="14.25" customHeight="1">
      <c r="A24" s="322" t="s">
        <v>101</v>
      </c>
      <c r="B24" s="320"/>
      <c r="C24" s="321">
        <f>SUM(C15:C22)</f>
        <v>23457</v>
      </c>
      <c r="D24" s="716"/>
      <c r="E24" s="322" t="s">
        <v>102</v>
      </c>
      <c r="F24" s="320"/>
      <c r="G24" s="321">
        <f>SUM(G15:G17)+G19+G21+G22</f>
        <v>11467</v>
      </c>
    </row>
    <row r="25" spans="1:7" ht="14.25" customHeight="1">
      <c r="A25" s="220" t="s">
        <v>150</v>
      </c>
      <c r="B25" s="201"/>
      <c r="C25" s="158"/>
      <c r="D25" s="716"/>
      <c r="E25" s="199" t="s">
        <v>68</v>
      </c>
      <c r="F25" s="331">
        <v>750000</v>
      </c>
      <c r="G25" s="158">
        <f>IF(F25=750000,0,100)</f>
        <v>0</v>
      </c>
    </row>
    <row r="26" spans="1:7" ht="14.25" customHeight="1">
      <c r="A26" s="199" t="s">
        <v>67</v>
      </c>
      <c r="B26" s="157" t="s">
        <v>35</v>
      </c>
      <c r="C26" s="158">
        <f>IF(B26="Yes",MIN(500,2.5%*C15),0)</f>
        <v>0</v>
      </c>
      <c r="D26" s="716"/>
      <c r="E26" s="199"/>
      <c r="F26" s="201"/>
      <c r="G26" s="158"/>
    </row>
    <row r="27" spans="1:7" ht="14.25" customHeight="1">
      <c r="A27" s="199" t="s">
        <v>69</v>
      </c>
      <c r="B27" s="157" t="s">
        <v>35</v>
      </c>
      <c r="C27" s="158">
        <f>IF(B27="Yes",50%*C15,0)</f>
        <v>0</v>
      </c>
      <c r="D27" s="716"/>
      <c r="E27" s="199"/>
      <c r="F27" s="201"/>
      <c r="G27" s="158"/>
    </row>
    <row r="28" spans="1:7" ht="14.25" customHeight="1">
      <c r="A28" s="199" t="s">
        <v>62</v>
      </c>
      <c r="B28" s="157" t="s">
        <v>35</v>
      </c>
      <c r="C28" s="158">
        <f>IF(B28="Yes",MIN(200,5%*C15),0)</f>
        <v>0</v>
      </c>
      <c r="D28" s="716"/>
      <c r="E28" s="199"/>
      <c r="F28" s="201"/>
      <c r="G28" s="158"/>
    </row>
    <row r="29" spans="1:7" ht="14.25" customHeight="1">
      <c r="A29" s="199" t="s">
        <v>133</v>
      </c>
      <c r="B29" s="157" t="s">
        <v>35</v>
      </c>
      <c r="C29" s="158">
        <f>IF(B29="Yes",33.33%*C15,0)</f>
        <v>0</v>
      </c>
      <c r="D29" s="716"/>
      <c r="E29" s="199"/>
      <c r="F29" s="201"/>
      <c r="G29" s="158"/>
    </row>
    <row r="30" spans="1:7" ht="14.25" customHeight="1">
      <c r="A30" s="199" t="s">
        <v>104</v>
      </c>
      <c r="B30" s="332">
        <v>0</v>
      </c>
      <c r="C30" s="158">
        <f>VLOOKUP(B30,PCCVT!I19:J23,2)</f>
        <v>0</v>
      </c>
      <c r="D30" s="716"/>
      <c r="E30" s="199"/>
      <c r="F30" s="201"/>
      <c r="G30" s="158"/>
    </row>
    <row r="31" spans="1:7" ht="14.25" customHeight="1">
      <c r="A31" s="322" t="s">
        <v>105</v>
      </c>
      <c r="B31" s="320"/>
      <c r="C31" s="321">
        <f>C24-SUM(C26:C30)</f>
        <v>23457</v>
      </c>
      <c r="D31" s="716"/>
      <c r="E31" s="319"/>
      <c r="F31" s="319"/>
      <c r="G31" s="319"/>
    </row>
    <row r="32" spans="1:7" ht="14.25" customHeight="1">
      <c r="A32" s="199" t="s">
        <v>73</v>
      </c>
      <c r="B32" s="441">
        <v>0</v>
      </c>
      <c r="C32" s="328">
        <f>(C24-C33)*B32</f>
        <v>0</v>
      </c>
      <c r="D32" s="716"/>
      <c r="E32" s="208"/>
      <c r="F32" s="201"/>
      <c r="G32" s="158"/>
    </row>
    <row r="33" spans="1:7" ht="14.25" customHeight="1">
      <c r="A33" s="153" t="s">
        <v>108</v>
      </c>
      <c r="B33" s="442">
        <v>0.2</v>
      </c>
      <c r="C33" s="328">
        <f>C15*B33</f>
        <v>3351</v>
      </c>
      <c r="D33" s="716"/>
      <c r="E33" s="208"/>
      <c r="F33" s="201"/>
      <c r="G33" s="158"/>
    </row>
    <row r="34" spans="1:7" ht="14.25" customHeight="1">
      <c r="A34" s="153" t="s">
        <v>197</v>
      </c>
      <c r="B34" s="442">
        <v>0.1</v>
      </c>
      <c r="C34" s="328">
        <f>C16*B34</f>
        <v>670.2</v>
      </c>
      <c r="D34" s="716"/>
      <c r="E34" s="208"/>
      <c r="F34" s="201"/>
      <c r="G34" s="158"/>
    </row>
    <row r="35" spans="1:7" ht="14.25" customHeight="1">
      <c r="A35" s="708" t="s">
        <v>109</v>
      </c>
      <c r="B35" s="708"/>
      <c r="C35" s="333">
        <f>C31-C32-C33-C34</f>
        <v>19435.8</v>
      </c>
      <c r="D35" s="716"/>
      <c r="E35" s="708" t="s">
        <v>110</v>
      </c>
      <c r="F35" s="708"/>
      <c r="G35" s="321">
        <f>G24-G25</f>
        <v>11467</v>
      </c>
    </row>
    <row r="36" spans="1:7" ht="14.25" customHeight="1">
      <c r="A36" s="75"/>
      <c r="B36" s="75"/>
      <c r="C36" s="75"/>
      <c r="D36" s="75"/>
      <c r="E36" s="75"/>
      <c r="F36" s="75"/>
      <c r="G36" s="255"/>
    </row>
    <row r="37" spans="1:7" ht="14.25" customHeight="1">
      <c r="A37" s="75"/>
      <c r="B37" s="75"/>
      <c r="C37" s="75"/>
      <c r="D37" s="75"/>
      <c r="E37" s="75"/>
      <c r="F37" s="75"/>
      <c r="G37" s="255"/>
    </row>
    <row r="38" spans="1:7" ht="14.25" customHeight="1">
      <c r="A38" s="598" t="s">
        <v>201</v>
      </c>
      <c r="B38" s="717" t="s">
        <v>113</v>
      </c>
      <c r="C38" s="717"/>
      <c r="D38" s="717"/>
      <c r="E38" s="256" t="s">
        <v>111</v>
      </c>
      <c r="F38" s="79" t="s">
        <v>112</v>
      </c>
      <c r="G38" s="80" t="s">
        <v>36</v>
      </c>
    </row>
    <row r="39" spans="1:7" ht="14.25" customHeight="1">
      <c r="A39" s="598"/>
      <c r="B39" s="718"/>
      <c r="C39" s="718"/>
      <c r="D39" s="718"/>
      <c r="E39" s="82">
        <f>C35</f>
        <v>19435.8</v>
      </c>
      <c r="F39" s="73">
        <f>G35</f>
        <v>11467</v>
      </c>
      <c r="G39" s="83">
        <f>SUM(E39:F39)</f>
        <v>30902.8</v>
      </c>
    </row>
    <row r="40" spans="1:7" s="74" customFormat="1" ht="14.25" customHeight="1">
      <c r="A40" s="598"/>
      <c r="B40" s="655" t="s">
        <v>209</v>
      </c>
      <c r="C40" s="656"/>
      <c r="D40" s="656"/>
      <c r="E40" s="85">
        <f>E39*HyperLink!B21</f>
        <v>3498.444</v>
      </c>
      <c r="F40" s="85">
        <f>F39*HyperLink!B21</f>
        <v>2064.06</v>
      </c>
      <c r="G40" s="85">
        <f>G39*HyperLink!B21</f>
        <v>5562.504</v>
      </c>
    </row>
    <row r="41" spans="1:7" s="74" customFormat="1" ht="14.25" customHeight="1">
      <c r="A41" s="598"/>
      <c r="B41" s="714" t="s">
        <v>114</v>
      </c>
      <c r="C41" s="714"/>
      <c r="D41" s="714"/>
      <c r="E41" s="86">
        <f>SUM(E39:E40)</f>
        <v>22934.244</v>
      </c>
      <c r="F41" s="86">
        <f>SUM(F39:F40)</f>
        <v>13531.06</v>
      </c>
      <c r="G41" s="87">
        <f>SUM(G39:G40)</f>
        <v>36465.304</v>
      </c>
    </row>
    <row r="42" ht="14.25" customHeight="1">
      <c r="D42" s="74"/>
    </row>
    <row r="43" ht="14.25" customHeight="1">
      <c r="D43" s="74"/>
    </row>
    <row r="45" ht="14.25" customHeight="1" hidden="1"/>
    <row r="46" ht="14.25" customHeight="1" hidden="1"/>
    <row r="47" spans="1:2" ht="14.25" customHeight="1" hidden="1">
      <c r="A47" s="91" t="s">
        <v>54</v>
      </c>
      <c r="B47" s="91" t="s">
        <v>119</v>
      </c>
    </row>
    <row r="48" spans="1:2" ht="14.25" customHeight="1">
      <c r="A48" s="91" t="b">
        <f>IF(B18="Yes",IF(B48=0,4.5%,IF(B48=1,5.5%,IF(B48=2,7%,0))))</f>
        <v>0</v>
      </c>
      <c r="B48" s="93">
        <f ca="1">YEAR(TODAY())-(G6)</f>
        <v>4</v>
      </c>
    </row>
  </sheetData>
  <sheetProtection password="CEED" sheet="1"/>
  <mergeCells count="25">
    <mergeCell ref="A11:C11"/>
    <mergeCell ref="D11:D35"/>
    <mergeCell ref="E11:G11"/>
    <mergeCell ref="A8:B8"/>
    <mergeCell ref="B38:D38"/>
    <mergeCell ref="B39:D39"/>
    <mergeCell ref="B40:D40"/>
    <mergeCell ref="A35:B35"/>
    <mergeCell ref="E35:F35"/>
    <mergeCell ref="A1:G1"/>
    <mergeCell ref="A2:G2"/>
    <mergeCell ref="A38:A41"/>
    <mergeCell ref="B41:D41"/>
    <mergeCell ref="E8:F8"/>
    <mergeCell ref="A9:B9"/>
    <mergeCell ref="A10:G10"/>
    <mergeCell ref="I2:J3"/>
    <mergeCell ref="A5:G5"/>
    <mergeCell ref="A6:B6"/>
    <mergeCell ref="D6:D9"/>
    <mergeCell ref="E6:F6"/>
    <mergeCell ref="A7:B7"/>
    <mergeCell ref="E7:F7"/>
    <mergeCell ref="B3:G3"/>
    <mergeCell ref="B4:G4"/>
  </mergeCells>
  <dataValidations count="7">
    <dataValidation type="list" allowBlank="1" showErrorMessage="1" sqref="F25">
      <formula1>"6000,750000"</formula1>
      <formula2>0</formula2>
    </dataValidation>
    <dataValidation type="list" allowBlank="1" showErrorMessage="1" sqref="B8 B26:B29 F19 B17:B23 F16">
      <formula1>"Yes,No"</formula1>
      <formula2>0</formula2>
    </dataValidation>
    <dataValidation type="list" allowBlank="1" showErrorMessage="1" sqref="B30">
      <formula1>"0,2500,5000,7500,15000"</formula1>
      <formula2>0</formula2>
    </dataValidation>
    <dataValidation type="list" allowBlank="1" showErrorMessage="1" sqref="B32">
      <formula1>"65%,50%,45%,35%,25%,20%,5%,0%"</formula1>
      <formula2>0</formula2>
    </dataValidation>
    <dataValidation type="list" allowBlank="1" showErrorMessage="1" sqref="B16">
      <formula1>"0%,20%,25%,40%"</formula1>
    </dataValidation>
    <dataValidation type="list" allowBlank="1" showErrorMessage="1" sqref="G7">
      <formula1>"A,B"</formula1>
      <formula2>0</formula2>
    </dataValidation>
    <dataValidation type="list" allowBlank="1" showErrorMessage="1" sqref="F17">
      <formula1>"1,2,3,4,5,6"</formula1>
      <formula2>0</formula2>
    </dataValidation>
  </dataValidations>
  <hyperlinks>
    <hyperlink ref="I2" location="HyperLink!A1" display="BACK"/>
  </hyperlinks>
  <printOptions/>
  <pageMargins left="0.45" right="0.2701388888888889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1">
      <selection activeCell="E20" sqref="E20"/>
    </sheetView>
  </sheetViews>
  <sheetFormatPr defaultColWidth="9.140625" defaultRowHeight="13.5" customHeight="1"/>
  <cols>
    <col min="1" max="1" width="27.140625" style="306" customWidth="1"/>
    <col min="2" max="2" width="7.421875" style="306" customWidth="1"/>
    <col min="3" max="3" width="11.8515625" style="306" customWidth="1"/>
    <col min="4" max="4" width="3.421875" style="306" customWidth="1"/>
    <col min="5" max="5" width="19.57421875" style="306" customWidth="1"/>
    <col min="6" max="6" width="8.57421875" style="306" customWidth="1"/>
    <col min="7" max="7" width="11.57421875" style="306" customWidth="1"/>
    <col min="8" max="8" width="4.421875" style="306" customWidth="1"/>
    <col min="9" max="10" width="6.7109375" style="306" customWidth="1"/>
    <col min="11" max="11" width="5.57421875" style="307" hidden="1" customWidth="1"/>
    <col min="12" max="12" width="16.28125" style="307" hidden="1" customWidth="1"/>
    <col min="13" max="16384" width="9.140625" style="306" customWidth="1"/>
  </cols>
  <sheetData>
    <row r="1" spans="1:7" ht="13.5" customHeight="1">
      <c r="A1" s="719" t="s">
        <v>0</v>
      </c>
      <c r="B1" s="719"/>
      <c r="C1" s="719"/>
      <c r="D1" s="719"/>
      <c r="E1" s="719"/>
      <c r="F1" s="719"/>
      <c r="G1" s="719"/>
    </row>
    <row r="2" spans="1:12" ht="13.5" customHeight="1">
      <c r="A2" s="692" t="s">
        <v>229</v>
      </c>
      <c r="B2" s="692"/>
      <c r="C2" s="692" t="s">
        <v>119</v>
      </c>
      <c r="D2" s="692"/>
      <c r="E2" s="692"/>
      <c r="F2" s="692"/>
      <c r="G2" s="692"/>
      <c r="J2" s="722" t="s">
        <v>27</v>
      </c>
      <c r="K2" s="307" t="s">
        <v>73</v>
      </c>
      <c r="L2" s="307" t="s">
        <v>74</v>
      </c>
    </row>
    <row r="3" spans="1:10" ht="13.5" customHeight="1">
      <c r="A3" s="524" t="s">
        <v>235</v>
      </c>
      <c r="B3" s="726"/>
      <c r="C3" s="726"/>
      <c r="D3" s="726"/>
      <c r="E3" s="726"/>
      <c r="F3" s="726"/>
      <c r="G3" s="726"/>
      <c r="J3" s="722"/>
    </row>
    <row r="4" spans="1:12" ht="13.5" customHeight="1">
      <c r="A4" s="524" t="s">
        <v>234</v>
      </c>
      <c r="B4" s="726"/>
      <c r="C4" s="726"/>
      <c r="D4" s="726"/>
      <c r="E4" s="726"/>
      <c r="F4" s="726"/>
      <c r="G4" s="726"/>
      <c r="K4" s="308">
        <f>C14+C15+C17-C27</f>
        <v>8135.375</v>
      </c>
      <c r="L4" s="308">
        <f>C14+C15+C16++C18+C19</f>
        <v>10114.25</v>
      </c>
    </row>
    <row r="5" spans="1:7" ht="13.5" customHeight="1">
      <c r="A5" s="696" t="s">
        <v>76</v>
      </c>
      <c r="B5" s="696"/>
      <c r="C5" s="696"/>
      <c r="D5" s="696"/>
      <c r="E5" s="696"/>
      <c r="F5" s="696"/>
      <c r="G5" s="696"/>
    </row>
    <row r="6" spans="1:7" ht="13.5" customHeight="1">
      <c r="A6" s="720" t="s">
        <v>134</v>
      </c>
      <c r="B6" s="720"/>
      <c r="C6" s="527">
        <v>500000</v>
      </c>
      <c r="D6" s="528"/>
      <c r="E6" s="720" t="s">
        <v>80</v>
      </c>
      <c r="F6" s="720"/>
      <c r="G6" s="529">
        <v>2016</v>
      </c>
    </row>
    <row r="7" spans="1:256" ht="13.5" customHeight="1">
      <c r="A7" s="720" t="s">
        <v>87</v>
      </c>
      <c r="B7" s="720"/>
      <c r="C7" s="527">
        <v>0</v>
      </c>
      <c r="D7" s="528"/>
      <c r="E7" s="720" t="s">
        <v>157</v>
      </c>
      <c r="F7" s="720"/>
      <c r="G7" s="529">
        <v>8</v>
      </c>
      <c r="K7" s="309"/>
      <c r="L7" s="309"/>
      <c r="IV7" s="309"/>
    </row>
    <row r="8" spans="1:256" s="221" customFormat="1" ht="13.5" customHeight="1">
      <c r="A8" s="720" t="s">
        <v>137</v>
      </c>
      <c r="B8" s="720"/>
      <c r="C8" s="527">
        <v>0</v>
      </c>
      <c r="D8" s="528"/>
      <c r="E8" s="724" t="s">
        <v>40</v>
      </c>
      <c r="F8" s="724"/>
      <c r="G8" s="530" t="s">
        <v>91</v>
      </c>
      <c r="K8" s="74"/>
      <c r="L8" s="74"/>
      <c r="IV8" s="74"/>
    </row>
    <row r="9" spans="1:12" ht="13.5" customHeight="1">
      <c r="A9" s="725" t="s">
        <v>138</v>
      </c>
      <c r="B9" s="725"/>
      <c r="C9" s="725"/>
      <c r="D9" s="725"/>
      <c r="E9" s="725"/>
      <c r="F9" s="725"/>
      <c r="G9" s="725"/>
      <c r="I9" s="221"/>
      <c r="J9" s="221"/>
      <c r="K9" s="310"/>
      <c r="L9" s="310"/>
    </row>
    <row r="10" spans="1:12" ht="13.5" customHeight="1">
      <c r="A10" s="721" t="s">
        <v>83</v>
      </c>
      <c r="B10" s="721"/>
      <c r="C10" s="721"/>
      <c r="D10" s="531"/>
      <c r="E10" s="721" t="s">
        <v>84</v>
      </c>
      <c r="F10" s="721"/>
      <c r="G10" s="721"/>
      <c r="I10" s="221"/>
      <c r="J10" s="221"/>
      <c r="K10" s="310"/>
      <c r="L10" s="310"/>
    </row>
    <row r="11" spans="1:12" ht="13.5" customHeight="1">
      <c r="A11" s="528" t="s">
        <v>139</v>
      </c>
      <c r="B11" s="532"/>
      <c r="C11" s="533">
        <f>Database1!G29</f>
        <v>8795</v>
      </c>
      <c r="D11" s="531"/>
      <c r="E11" s="528" t="s">
        <v>46</v>
      </c>
      <c r="F11" s="534"/>
      <c r="G11" s="533">
        <f>SUM(Database1!G30)</f>
        <v>6222</v>
      </c>
      <c r="I11" s="221"/>
      <c r="J11" s="221"/>
      <c r="K11" s="310"/>
      <c r="L11" s="310"/>
    </row>
    <row r="12" spans="1:12" ht="13.5" customHeight="1">
      <c r="A12" s="528" t="s">
        <v>87</v>
      </c>
      <c r="B12" s="534"/>
      <c r="C12" s="533">
        <f>C7*0.04</f>
        <v>0</v>
      </c>
      <c r="D12" s="531"/>
      <c r="E12" s="528" t="s">
        <v>142</v>
      </c>
      <c r="F12" s="534"/>
      <c r="G12" s="533">
        <f>IF(C8&gt;0,60,0)</f>
        <v>0</v>
      </c>
      <c r="I12" s="221"/>
      <c r="J12" s="221"/>
      <c r="K12" s="310"/>
      <c r="L12" s="310"/>
    </row>
    <row r="13" spans="1:12" ht="13.5" customHeight="1">
      <c r="A13" s="528" t="s">
        <v>57</v>
      </c>
      <c r="B13" s="534"/>
      <c r="C13" s="533">
        <f>IF(C8&gt;0,C8*4/100,0)</f>
        <v>0</v>
      </c>
      <c r="D13" s="531"/>
      <c r="E13" s="528" t="s">
        <v>158</v>
      </c>
      <c r="F13" s="534"/>
      <c r="G13" s="533">
        <f>G7*1241</f>
        <v>9928</v>
      </c>
      <c r="I13" s="221"/>
      <c r="J13" s="221"/>
      <c r="K13" s="310"/>
      <c r="L13" s="310"/>
    </row>
    <row r="14" spans="1:12" ht="13.5" customHeight="1">
      <c r="A14" s="535" t="s">
        <v>92</v>
      </c>
      <c r="B14" s="536"/>
      <c r="C14" s="537">
        <f>SUM(C11:C13)</f>
        <v>8795</v>
      </c>
      <c r="D14" s="531"/>
      <c r="E14" s="535" t="s">
        <v>143</v>
      </c>
      <c r="F14" s="538"/>
      <c r="G14" s="537">
        <f>SUM(G11:G13)</f>
        <v>16150</v>
      </c>
      <c r="I14" s="221"/>
      <c r="J14" s="221"/>
      <c r="K14" s="310"/>
      <c r="L14" s="310"/>
    </row>
    <row r="15" spans="1:12" ht="13.5" customHeight="1">
      <c r="A15" s="528" t="s">
        <v>144</v>
      </c>
      <c r="B15" s="530" t="s">
        <v>88</v>
      </c>
      <c r="C15" s="533">
        <f>IF(B15="Yes",(C11+C12+C13)*0.15,0)</f>
        <v>1319.25</v>
      </c>
      <c r="D15" s="531"/>
      <c r="E15" s="528" t="s">
        <v>126</v>
      </c>
      <c r="F15" s="530" t="s">
        <v>88</v>
      </c>
      <c r="G15" s="533">
        <f>IF(F15="Yes",50*F16,0)</f>
        <v>50</v>
      </c>
      <c r="I15" s="221"/>
      <c r="J15" s="221"/>
      <c r="K15" s="310"/>
      <c r="L15" s="310"/>
    </row>
    <row r="16" spans="1:12" ht="13.5" customHeight="1">
      <c r="A16" s="294" t="s">
        <v>95</v>
      </c>
      <c r="B16" s="267" t="s">
        <v>35</v>
      </c>
      <c r="C16" s="327">
        <f>C6*A56/10</f>
        <v>0</v>
      </c>
      <c r="D16" s="531"/>
      <c r="E16" s="528" t="s">
        <v>159</v>
      </c>
      <c r="F16" s="530">
        <v>1</v>
      </c>
      <c r="G16" s="533"/>
      <c r="I16" s="221"/>
      <c r="J16" s="221"/>
      <c r="K16" s="310"/>
      <c r="L16" s="310"/>
    </row>
    <row r="17" spans="1:12" ht="13.5" customHeight="1">
      <c r="A17" s="324" t="s">
        <v>146</v>
      </c>
      <c r="B17" s="185">
        <v>0.35</v>
      </c>
      <c r="C17" s="326">
        <f>(C14)*B17</f>
        <v>3078.25</v>
      </c>
      <c r="D17" s="531"/>
      <c r="E17" s="539" t="s">
        <v>125</v>
      </c>
      <c r="F17" s="530" t="s">
        <v>88</v>
      </c>
      <c r="G17" s="533">
        <f>IF(F17="Yes",750,0)</f>
        <v>750</v>
      </c>
      <c r="I17" s="221"/>
      <c r="J17" s="221"/>
      <c r="K17" s="310"/>
      <c r="L17" s="310"/>
    </row>
    <row r="18" spans="1:12" ht="13.5" customHeight="1">
      <c r="A18" s="528" t="s">
        <v>156</v>
      </c>
      <c r="B18" s="530" t="s">
        <v>35</v>
      </c>
      <c r="C18" s="533">
        <f>IF(B18="Yes",C14*0.3,0)</f>
        <v>0</v>
      </c>
      <c r="D18" s="531"/>
      <c r="E18" s="528" t="s">
        <v>96</v>
      </c>
      <c r="F18" s="534"/>
      <c r="G18" s="533"/>
      <c r="I18" s="221"/>
      <c r="J18" s="221"/>
      <c r="K18" s="310"/>
      <c r="L18" s="310"/>
    </row>
    <row r="19" spans="1:12" ht="13.5" customHeight="1">
      <c r="A19" s="528" t="s">
        <v>129</v>
      </c>
      <c r="B19" s="530" t="s">
        <v>35</v>
      </c>
      <c r="C19" s="533">
        <f>IF(B19="Yes",50,0)</f>
        <v>0</v>
      </c>
      <c r="D19" s="531"/>
      <c r="E19" s="528"/>
      <c r="F19" s="534"/>
      <c r="G19" s="533"/>
      <c r="I19" s="221"/>
      <c r="J19" s="221"/>
      <c r="K19" s="310"/>
      <c r="L19" s="310"/>
    </row>
    <row r="20" spans="1:12" ht="13.5" customHeight="1">
      <c r="A20" s="535" t="s">
        <v>131</v>
      </c>
      <c r="B20" s="536"/>
      <c r="C20" s="537">
        <f>SUM(C14:C19)</f>
        <v>13192.5</v>
      </c>
      <c r="D20" s="531"/>
      <c r="E20" s="535" t="s">
        <v>149</v>
      </c>
      <c r="F20" s="536"/>
      <c r="G20" s="537">
        <f>SUM(G14,G15,G18,G19)</f>
        <v>16200</v>
      </c>
      <c r="I20" s="221"/>
      <c r="J20" s="221"/>
      <c r="K20" s="310"/>
      <c r="L20" s="310"/>
    </row>
    <row r="21" spans="1:12" ht="13.5" customHeight="1">
      <c r="A21" s="528" t="s">
        <v>150</v>
      </c>
      <c r="B21" s="534"/>
      <c r="C21" s="533"/>
      <c r="D21" s="531"/>
      <c r="E21" s="528" t="s">
        <v>68</v>
      </c>
      <c r="F21" s="530">
        <v>750000</v>
      </c>
      <c r="G21" s="533">
        <f>IF(F21=750000,0,150)</f>
        <v>0</v>
      </c>
      <c r="I21" s="221"/>
      <c r="J21" s="221"/>
      <c r="K21" s="310"/>
      <c r="L21" s="310"/>
    </row>
    <row r="22" spans="1:12" ht="13.5" customHeight="1">
      <c r="A22" s="528" t="s">
        <v>67</v>
      </c>
      <c r="B22" s="530" t="s">
        <v>35</v>
      </c>
      <c r="C22" s="533">
        <f>IF(B22="Yes",MIN(C20*0.025,500),0)</f>
        <v>0</v>
      </c>
      <c r="D22" s="531"/>
      <c r="E22" s="528"/>
      <c r="F22" s="534"/>
      <c r="G22" s="533"/>
      <c r="I22" s="221"/>
      <c r="J22" s="221"/>
      <c r="K22" s="310"/>
      <c r="L22" s="310"/>
    </row>
    <row r="23" spans="1:12" ht="13.5" customHeight="1">
      <c r="A23" s="528" t="s">
        <v>62</v>
      </c>
      <c r="B23" s="530" t="s">
        <v>35</v>
      </c>
      <c r="C23" s="533">
        <f>IF(B23="Yes",MIN(C20*0.05,200),0)</f>
        <v>0</v>
      </c>
      <c r="D23" s="531"/>
      <c r="E23" s="528"/>
      <c r="F23" s="534"/>
      <c r="G23" s="533"/>
      <c r="I23" s="221"/>
      <c r="J23" s="221"/>
      <c r="K23" s="310"/>
      <c r="L23" s="310"/>
    </row>
    <row r="24" spans="1:12" s="221" customFormat="1" ht="13.5" customHeight="1">
      <c r="A24" s="528" t="s">
        <v>133</v>
      </c>
      <c r="B24" s="530" t="s">
        <v>35</v>
      </c>
      <c r="C24" s="533">
        <f>IF(B24="Yes",C20*(1/3),0)</f>
        <v>0</v>
      </c>
      <c r="D24" s="531"/>
      <c r="E24" s="528"/>
      <c r="F24" s="534"/>
      <c r="G24" s="533"/>
      <c r="K24" s="310"/>
      <c r="L24" s="310"/>
    </row>
    <row r="25" spans="1:7" ht="13.5" customHeight="1">
      <c r="A25" s="535" t="s">
        <v>151</v>
      </c>
      <c r="B25" s="536"/>
      <c r="C25" s="537">
        <f>C20-SUM(C22:C24)</f>
        <v>13192.5</v>
      </c>
      <c r="D25" s="531"/>
      <c r="E25" s="528"/>
      <c r="F25" s="534"/>
      <c r="G25" s="533"/>
    </row>
    <row r="26" spans="1:7" ht="13.5" customHeight="1">
      <c r="A26" s="528" t="s">
        <v>73</v>
      </c>
      <c r="B26" s="540">
        <v>0.25</v>
      </c>
      <c r="C26" s="533">
        <f>K4*B26</f>
        <v>2033.84375</v>
      </c>
      <c r="D26" s="531"/>
      <c r="E26" s="541"/>
      <c r="F26" s="534"/>
      <c r="G26" s="533"/>
    </row>
    <row r="27" spans="1:7" ht="13.5" customHeight="1">
      <c r="A27" s="153" t="s">
        <v>108</v>
      </c>
      <c r="B27" s="542">
        <v>0.5</v>
      </c>
      <c r="C27" s="533">
        <f>L4*B27</f>
        <v>5057.125</v>
      </c>
      <c r="D27" s="531"/>
      <c r="E27" s="541"/>
      <c r="F27" s="534"/>
      <c r="G27" s="533"/>
    </row>
    <row r="28" spans="1:7" ht="13.5" customHeight="1">
      <c r="A28" s="153" t="s">
        <v>197</v>
      </c>
      <c r="B28" s="447">
        <v>0</v>
      </c>
      <c r="C28" s="533">
        <f>C17*B28</f>
        <v>0</v>
      </c>
      <c r="D28" s="531"/>
      <c r="E28" s="541"/>
      <c r="F28" s="534"/>
      <c r="G28" s="533"/>
    </row>
    <row r="29" spans="1:7" ht="13.5" customHeight="1">
      <c r="A29" s="721" t="s">
        <v>109</v>
      </c>
      <c r="B29" s="721"/>
      <c r="C29" s="543">
        <f>C25-C26-C27-C28</f>
        <v>6101.53125</v>
      </c>
      <c r="D29" s="531"/>
      <c r="E29" s="721" t="s">
        <v>110</v>
      </c>
      <c r="F29" s="721"/>
      <c r="G29" s="544">
        <f>G20-G21+G27</f>
        <v>16200</v>
      </c>
    </row>
    <row r="30" spans="4:7" ht="13.5" customHeight="1">
      <c r="D30" s="311"/>
      <c r="E30" s="312"/>
      <c r="F30" s="311"/>
      <c r="G30" s="313"/>
    </row>
    <row r="31" spans="1:12" s="314" customFormat="1" ht="13.5" customHeight="1">
      <c r="A31" s="311"/>
      <c r="B31" s="311"/>
      <c r="C31" s="311"/>
      <c r="D31" s="311"/>
      <c r="E31" s="312"/>
      <c r="F31" s="311"/>
      <c r="G31" s="313"/>
      <c r="K31" s="315"/>
      <c r="L31" s="315"/>
    </row>
    <row r="32" spans="1:7" ht="13.5" customHeight="1">
      <c r="A32" s="727" t="s">
        <v>201</v>
      </c>
      <c r="B32" s="723" t="s">
        <v>113</v>
      </c>
      <c r="C32" s="723"/>
      <c r="D32" s="723"/>
      <c r="E32" s="545" t="s">
        <v>111</v>
      </c>
      <c r="F32" s="546" t="s">
        <v>112</v>
      </c>
      <c r="G32" s="547" t="s">
        <v>36</v>
      </c>
    </row>
    <row r="33" spans="1:7" ht="13.5" customHeight="1">
      <c r="A33" s="727"/>
      <c r="B33" s="723"/>
      <c r="C33" s="723"/>
      <c r="D33" s="723"/>
      <c r="E33" s="548">
        <f>C29</f>
        <v>6101.53125</v>
      </c>
      <c r="F33" s="533">
        <f>G29</f>
        <v>16200</v>
      </c>
      <c r="G33" s="549">
        <f>SUM(E33:F33)</f>
        <v>22301.53125</v>
      </c>
    </row>
    <row r="34" spans="1:7" ht="13.5" customHeight="1">
      <c r="A34" s="727"/>
      <c r="B34" s="656" t="s">
        <v>207</v>
      </c>
      <c r="C34" s="656"/>
      <c r="D34" s="656"/>
      <c r="E34" s="550">
        <f>E33*HyperLink!B21</f>
        <v>1098.275625</v>
      </c>
      <c r="F34" s="550">
        <f>F33*HyperLink!B21</f>
        <v>2916</v>
      </c>
      <c r="G34" s="550">
        <f>G33*HyperLink!B21</f>
        <v>4014.2756249999998</v>
      </c>
    </row>
    <row r="35" spans="1:7" ht="13.5" customHeight="1">
      <c r="A35" s="727"/>
      <c r="B35" s="728" t="s">
        <v>114</v>
      </c>
      <c r="C35" s="728"/>
      <c r="D35" s="728"/>
      <c r="E35" s="551">
        <f>SUM(E33:E34)</f>
        <v>7199.806875</v>
      </c>
      <c r="F35" s="551">
        <f>SUM(F33:F34)</f>
        <v>19116</v>
      </c>
      <c r="G35" s="552">
        <f>SUM(G33:G34)</f>
        <v>26315.806875</v>
      </c>
    </row>
    <row r="36" ht="13.5" customHeight="1">
      <c r="G36" s="316"/>
    </row>
    <row r="37" ht="13.5" customHeight="1">
      <c r="E37" s="317"/>
    </row>
    <row r="52" ht="13.5" customHeight="1" hidden="1"/>
    <row r="53" ht="13.5" customHeight="1" hidden="1"/>
    <row r="55" spans="1:2" ht="13.5" customHeight="1">
      <c r="A55" s="91" t="s">
        <v>54</v>
      </c>
      <c r="B55" s="91" t="s">
        <v>119</v>
      </c>
    </row>
    <row r="56" spans="1:2" ht="13.5" customHeight="1">
      <c r="A56" s="91" t="b">
        <f>IF(B16="Yes",IF(B56=0,4.5%,IF(B56=1,5.5%,IF(B56=2,7%,0))))</f>
        <v>0</v>
      </c>
      <c r="B56" s="93">
        <f ca="1">YEAR(TODAY())-(G6)</f>
        <v>2</v>
      </c>
    </row>
  </sheetData>
  <sheetProtection password="CEED" sheet="1"/>
  <mergeCells count="22">
    <mergeCell ref="B33:D33"/>
    <mergeCell ref="B34:D34"/>
    <mergeCell ref="B3:G3"/>
    <mergeCell ref="B4:G4"/>
    <mergeCell ref="A10:C10"/>
    <mergeCell ref="A29:B29"/>
    <mergeCell ref="A32:A35"/>
    <mergeCell ref="B35:D35"/>
    <mergeCell ref="J2:J3"/>
    <mergeCell ref="E29:F29"/>
    <mergeCell ref="A7:B7"/>
    <mergeCell ref="E7:F7"/>
    <mergeCell ref="B32:D32"/>
    <mergeCell ref="E8:F8"/>
    <mergeCell ref="A9:G9"/>
    <mergeCell ref="A8:B8"/>
    <mergeCell ref="A1:G1"/>
    <mergeCell ref="A2:G2"/>
    <mergeCell ref="A5:G5"/>
    <mergeCell ref="A6:B6"/>
    <mergeCell ref="E6:F6"/>
    <mergeCell ref="E10:G10"/>
  </mergeCells>
  <dataValidations count="7">
    <dataValidation type="list" allowBlank="1" showErrorMessage="1" sqref="B15:B16 F15 F17 B18:B19 B22:B24">
      <formula1>"Yes,No"</formula1>
      <formula2>0</formula2>
    </dataValidation>
    <dataValidation type="list" allowBlank="1" showErrorMessage="1" sqref="B26">
      <formula1>"0%,20%,25%,35%,45%,50%,"</formula1>
      <formula2>0</formula2>
    </dataValidation>
    <dataValidation type="list" allowBlank="1" showErrorMessage="1" sqref="F21">
      <formula1>"750000,6000"</formula1>
      <formula2>0</formula2>
    </dataValidation>
    <dataValidation type="list" allowBlank="1" showErrorMessage="1" sqref="G8">
      <formula1>"A,B,C"</formula1>
      <formula2>0</formula2>
    </dataValidation>
    <dataValidation type="list" allowBlank="1" showErrorMessage="1" sqref="G7">
      <formula1>"7,8,9,10,11,12,13,14,15,16,17,18"</formula1>
      <formula2>0</formula2>
    </dataValidation>
    <dataValidation type="list" allowBlank="1" showErrorMessage="1" sqref="B17">
      <formula1>"0%,20%,25%,35%"</formula1>
    </dataValidation>
    <dataValidation allowBlank="1" showErrorMessage="1" sqref="B28">
      <formula1>0</formula1>
      <formula2>0</formula2>
    </dataValidation>
  </dataValidations>
  <hyperlinks>
    <hyperlink ref="J2:J3" location="HyperLink!A1" display="BACK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0">
      <selection activeCell="B15" sqref="B15"/>
    </sheetView>
  </sheetViews>
  <sheetFormatPr defaultColWidth="9.140625" defaultRowHeight="12.75"/>
  <cols>
    <col min="1" max="1" width="27.28125" style="94" customWidth="1"/>
    <col min="2" max="2" width="7.7109375" style="94" customWidth="1"/>
    <col min="3" max="3" width="10.7109375" style="94" customWidth="1"/>
    <col min="4" max="4" width="3.00390625" style="94" customWidth="1"/>
    <col min="5" max="5" width="19.421875" style="94" customWidth="1"/>
    <col min="6" max="6" width="9.8515625" style="94" customWidth="1"/>
    <col min="7" max="7" width="11.57421875" style="94" customWidth="1"/>
    <col min="8" max="8" width="3.421875" style="94" customWidth="1"/>
    <col min="9" max="9" width="5.7109375" style="94" customWidth="1"/>
    <col min="10" max="10" width="7.28125" style="94" customWidth="1"/>
    <col min="11" max="11" width="20.7109375" style="94" customWidth="1"/>
    <col min="12" max="13" width="6.7109375" style="130" bestFit="1" customWidth="1"/>
    <col min="14" max="14" width="20.7109375" style="94" customWidth="1"/>
    <col min="15" max="16384" width="9.140625" style="94" customWidth="1"/>
  </cols>
  <sheetData>
    <row r="1" spans="1:13" ht="15.75">
      <c r="A1" s="729" t="s">
        <v>0</v>
      </c>
      <c r="B1" s="729"/>
      <c r="C1" s="729"/>
      <c r="D1" s="729"/>
      <c r="E1" s="729"/>
      <c r="F1" s="729"/>
      <c r="G1" s="729"/>
      <c r="L1" s="130" t="s">
        <v>73</v>
      </c>
      <c r="M1" s="130" t="s">
        <v>74</v>
      </c>
    </row>
    <row r="2" spans="1:10" ht="12.75" customHeight="1">
      <c r="A2" s="644" t="s">
        <v>230</v>
      </c>
      <c r="B2" s="644"/>
      <c r="C2" s="644" t="s">
        <v>119</v>
      </c>
      <c r="D2" s="644"/>
      <c r="E2" s="644"/>
      <c r="F2" s="644"/>
      <c r="G2" s="644"/>
      <c r="I2" s="730" t="s">
        <v>161</v>
      </c>
      <c r="J2" s="730"/>
    </row>
    <row r="3" spans="1:13" ht="15">
      <c r="A3" s="523" t="s">
        <v>235</v>
      </c>
      <c r="B3" s="649"/>
      <c r="C3" s="650"/>
      <c r="D3" s="650"/>
      <c r="E3" s="650"/>
      <c r="F3" s="650"/>
      <c r="G3" s="651"/>
      <c r="I3" s="730"/>
      <c r="J3" s="730"/>
      <c r="L3" s="131">
        <f>C14+C15+C17-C27</f>
        <v>3950.96875</v>
      </c>
      <c r="M3" s="131">
        <f>C14+C15</f>
        <v>7901.9375</v>
      </c>
    </row>
    <row r="4" spans="1:7" ht="15">
      <c r="A4" s="523" t="s">
        <v>234</v>
      </c>
      <c r="B4" s="649"/>
      <c r="C4" s="650"/>
      <c r="D4" s="650"/>
      <c r="E4" s="650"/>
      <c r="F4" s="650"/>
      <c r="G4" s="651"/>
    </row>
    <row r="5" spans="1:7" ht="15">
      <c r="A5" s="731" t="s">
        <v>76</v>
      </c>
      <c r="B5" s="731"/>
      <c r="C5" s="731"/>
      <c r="D5" s="731"/>
      <c r="E5" s="731"/>
      <c r="F5" s="731"/>
      <c r="G5" s="731"/>
    </row>
    <row r="6" spans="1:7" ht="14.25">
      <c r="A6" s="647" t="s">
        <v>134</v>
      </c>
      <c r="B6" s="647"/>
      <c r="C6" s="149">
        <v>375000</v>
      </c>
      <c r="D6" s="150"/>
      <c r="E6" s="647" t="s">
        <v>80</v>
      </c>
      <c r="F6" s="647"/>
      <c r="G6" s="151">
        <v>2008</v>
      </c>
    </row>
    <row r="7" spans="1:7" ht="14.25">
      <c r="A7" s="647" t="s">
        <v>87</v>
      </c>
      <c r="B7" s="647"/>
      <c r="C7" s="149"/>
      <c r="D7" s="150"/>
      <c r="E7" s="647" t="s">
        <v>157</v>
      </c>
      <c r="F7" s="647"/>
      <c r="G7" s="151">
        <v>7</v>
      </c>
    </row>
    <row r="8" spans="1:7" ht="14.25">
      <c r="A8" s="647" t="s">
        <v>137</v>
      </c>
      <c r="B8" s="647"/>
      <c r="C8" s="149">
        <v>0</v>
      </c>
      <c r="D8" s="150"/>
      <c r="E8" s="732" t="s">
        <v>40</v>
      </c>
      <c r="F8" s="732"/>
      <c r="G8" s="152" t="s">
        <v>91</v>
      </c>
    </row>
    <row r="9" spans="1:15" ht="14.25">
      <c r="A9" s="693" t="s">
        <v>138</v>
      </c>
      <c r="B9" s="693"/>
      <c r="C9" s="693"/>
      <c r="D9" s="693"/>
      <c r="E9" s="693"/>
      <c r="F9" s="693"/>
      <c r="G9" s="693"/>
      <c r="O9" s="98"/>
    </row>
    <row r="10" spans="1:15" ht="14.25">
      <c r="A10" s="733" t="s">
        <v>83</v>
      </c>
      <c r="B10" s="733"/>
      <c r="C10" s="733"/>
      <c r="D10" s="734"/>
      <c r="E10" s="733" t="s">
        <v>84</v>
      </c>
      <c r="F10" s="733"/>
      <c r="G10" s="733"/>
      <c r="O10" s="98"/>
    </row>
    <row r="11" spans="1:15" ht="14.25">
      <c r="A11" s="150" t="s">
        <v>139</v>
      </c>
      <c r="B11" s="288"/>
      <c r="C11" s="155">
        <f>Database2!G8+(IF(G7&gt;=61,"680",IF(G7&gt;=37,"550",IF(G7&gt;=19,"450","350"))))</f>
        <v>6871.25</v>
      </c>
      <c r="D11" s="734"/>
      <c r="E11" s="150" t="s">
        <v>46</v>
      </c>
      <c r="F11" s="154"/>
      <c r="G11" s="155">
        <f>SUM(Database2!G9)</f>
        <v>13176</v>
      </c>
      <c r="O11" s="98"/>
    </row>
    <row r="12" spans="1:15" ht="14.25">
      <c r="A12" s="150" t="s">
        <v>87</v>
      </c>
      <c r="B12" s="154"/>
      <c r="C12" s="155">
        <f>C7*0.04</f>
        <v>0</v>
      </c>
      <c r="D12" s="734"/>
      <c r="E12" s="150" t="s">
        <v>158</v>
      </c>
      <c r="F12" s="154"/>
      <c r="G12" s="155">
        <f>G7*805</f>
        <v>5635</v>
      </c>
      <c r="O12" s="98"/>
    </row>
    <row r="13" spans="1:15" ht="14.25">
      <c r="A13" s="150" t="s">
        <v>57</v>
      </c>
      <c r="B13" s="154"/>
      <c r="C13" s="155">
        <f>IF(C8&gt;0,C8*4/100,0)</f>
        <v>0</v>
      </c>
      <c r="D13" s="734"/>
      <c r="E13" s="150" t="s">
        <v>142</v>
      </c>
      <c r="F13" s="154"/>
      <c r="G13" s="155">
        <f>IF(C8&gt;0,60,0)</f>
        <v>0</v>
      </c>
      <c r="O13" s="98"/>
    </row>
    <row r="14" spans="1:15" ht="15">
      <c r="A14" s="289" t="s">
        <v>92</v>
      </c>
      <c r="B14" s="290"/>
      <c r="C14" s="291">
        <f>SUM(C11+C12+C13)</f>
        <v>6871.25</v>
      </c>
      <c r="D14" s="734"/>
      <c r="E14" s="289" t="s">
        <v>143</v>
      </c>
      <c r="F14" s="292"/>
      <c r="G14" s="291">
        <f>SUM(G11:G13)</f>
        <v>18811</v>
      </c>
      <c r="O14" s="98"/>
    </row>
    <row r="15" spans="1:15" ht="14.25">
      <c r="A15" s="150" t="s">
        <v>144</v>
      </c>
      <c r="B15" s="152" t="s">
        <v>88</v>
      </c>
      <c r="C15" s="155">
        <f>IF(B15="Yes",(C11+C12+C13)*0.15,0)</f>
        <v>1030.6875</v>
      </c>
      <c r="D15" s="734"/>
      <c r="E15" s="150" t="s">
        <v>126</v>
      </c>
      <c r="F15" s="152" t="s">
        <v>88</v>
      </c>
      <c r="G15" s="155">
        <f>IF(F15="Yes",50*F16,0)</f>
        <v>100</v>
      </c>
      <c r="O15" s="98"/>
    </row>
    <row r="16" spans="1:15" ht="14.25">
      <c r="A16" s="293" t="s">
        <v>94</v>
      </c>
      <c r="B16" s="185">
        <v>0</v>
      </c>
      <c r="C16" s="291">
        <f>(C14)*B16</f>
        <v>0</v>
      </c>
      <c r="D16" s="734"/>
      <c r="E16" s="150" t="s">
        <v>159</v>
      </c>
      <c r="F16" s="152">
        <v>2</v>
      </c>
      <c r="G16" s="155"/>
      <c r="O16" s="98"/>
    </row>
    <row r="17" spans="1:15" ht="14.25">
      <c r="A17" s="294" t="s">
        <v>95</v>
      </c>
      <c r="B17" s="267" t="s">
        <v>35</v>
      </c>
      <c r="C17" s="295">
        <f>C6*A55/10</f>
        <v>0</v>
      </c>
      <c r="D17" s="734"/>
      <c r="E17" s="296" t="s">
        <v>125</v>
      </c>
      <c r="F17" s="297" t="s">
        <v>88</v>
      </c>
      <c r="G17" s="291">
        <f>IF(F17="Yes",750,0)</f>
        <v>750</v>
      </c>
      <c r="O17" s="98"/>
    </row>
    <row r="18" spans="1:15" ht="14.25">
      <c r="A18" s="150" t="s">
        <v>156</v>
      </c>
      <c r="B18" s="152" t="s">
        <v>35</v>
      </c>
      <c r="C18" s="155">
        <f>IF(B18="Yes",C14*0.3,0)</f>
        <v>0</v>
      </c>
      <c r="D18" s="734"/>
      <c r="E18" s="150"/>
      <c r="F18" s="150"/>
      <c r="G18" s="150"/>
      <c r="O18" s="98"/>
    </row>
    <row r="19" spans="1:15" ht="15">
      <c r="A19" s="150" t="s">
        <v>129</v>
      </c>
      <c r="B19" s="152" t="s">
        <v>35</v>
      </c>
      <c r="C19" s="155">
        <f>IF(B19="Yes",50,0)</f>
        <v>0</v>
      </c>
      <c r="D19" s="734"/>
      <c r="E19" s="289" t="s">
        <v>149</v>
      </c>
      <c r="F19" s="290"/>
      <c r="G19" s="291">
        <f>SUM(G14,G15,G17)</f>
        <v>19661</v>
      </c>
      <c r="O19" s="98"/>
    </row>
    <row r="20" spans="1:15" ht="15">
      <c r="A20" s="289" t="s">
        <v>131</v>
      </c>
      <c r="B20" s="290"/>
      <c r="C20" s="291">
        <f>C14+C15+C16+C17+C18+C19</f>
        <v>7901.9375</v>
      </c>
      <c r="D20" s="734"/>
      <c r="E20" s="150" t="s">
        <v>68</v>
      </c>
      <c r="F20" s="152">
        <v>750000</v>
      </c>
      <c r="G20" s="155">
        <f>IF(F20=750000,0,150)</f>
        <v>0</v>
      </c>
      <c r="O20" s="98"/>
    </row>
    <row r="21" spans="1:15" ht="14.25">
      <c r="A21" s="150" t="s">
        <v>150</v>
      </c>
      <c r="B21" s="154"/>
      <c r="C21" s="155"/>
      <c r="D21" s="734"/>
      <c r="E21" s="150"/>
      <c r="F21" s="150"/>
      <c r="G21" s="150"/>
      <c r="O21" s="98"/>
    </row>
    <row r="22" spans="1:7" ht="14.25">
      <c r="A22" s="150" t="s">
        <v>67</v>
      </c>
      <c r="B22" s="152" t="s">
        <v>35</v>
      </c>
      <c r="C22" s="155">
        <f>IF(B22="Yes",MIN(C20*0.025,500),0)</f>
        <v>0</v>
      </c>
      <c r="D22" s="734"/>
      <c r="E22" s="150"/>
      <c r="F22" s="154"/>
      <c r="G22" s="155"/>
    </row>
    <row r="23" spans="1:7" ht="14.25">
      <c r="A23" s="150" t="s">
        <v>62</v>
      </c>
      <c r="B23" s="152" t="s">
        <v>35</v>
      </c>
      <c r="C23" s="155">
        <f>IF(B23="Yes",MIN(C20*0.05,200),0)</f>
        <v>0</v>
      </c>
      <c r="D23" s="734"/>
      <c r="E23" s="150"/>
      <c r="F23" s="154"/>
      <c r="G23" s="155"/>
    </row>
    <row r="24" spans="1:13" ht="15">
      <c r="A24" s="150" t="s">
        <v>133</v>
      </c>
      <c r="B24" s="152" t="s">
        <v>35</v>
      </c>
      <c r="C24" s="155">
        <f>IF(B24="Yes",C20*(1/3),0)</f>
        <v>0</v>
      </c>
      <c r="D24" s="734"/>
      <c r="E24" s="150"/>
      <c r="F24" s="154"/>
      <c r="G24" s="155"/>
      <c r="J24" s="132"/>
      <c r="K24" s="132"/>
      <c r="L24" s="132"/>
      <c r="M24" s="132"/>
    </row>
    <row r="25" spans="1:7" ht="15">
      <c r="A25" s="289" t="s">
        <v>151</v>
      </c>
      <c r="B25" s="290"/>
      <c r="C25" s="291">
        <f>C20-SUM(C22:C24)</f>
        <v>7901.9375</v>
      </c>
      <c r="D25" s="734"/>
      <c r="E25" s="293"/>
      <c r="F25" s="290"/>
      <c r="G25" s="291"/>
    </row>
    <row r="26" spans="1:7" ht="15">
      <c r="A26" s="150" t="s">
        <v>73</v>
      </c>
      <c r="B26" s="169">
        <v>0.45</v>
      </c>
      <c r="C26" s="155">
        <f>(C25-C27)*B26</f>
        <v>1777.9359375000001</v>
      </c>
      <c r="D26" s="734"/>
      <c r="E26" s="170"/>
      <c r="F26" s="154"/>
      <c r="G26" s="155"/>
    </row>
    <row r="27" spans="1:7" ht="15">
      <c r="A27" s="153" t="s">
        <v>108</v>
      </c>
      <c r="B27" s="274">
        <v>0.5</v>
      </c>
      <c r="C27" s="155">
        <f>(C14+C15)*B27</f>
        <v>3950.96875</v>
      </c>
      <c r="D27" s="734"/>
      <c r="E27" s="170"/>
      <c r="F27" s="154"/>
      <c r="G27" s="155"/>
    </row>
    <row r="28" spans="1:7" ht="15">
      <c r="A28" s="153" t="s">
        <v>197</v>
      </c>
      <c r="B28" s="185">
        <v>0</v>
      </c>
      <c r="C28" s="162">
        <f>C16*B28</f>
        <v>0</v>
      </c>
      <c r="D28" s="734"/>
      <c r="E28" s="170"/>
      <c r="F28" s="154"/>
      <c r="G28" s="155"/>
    </row>
    <row r="29" spans="1:11" ht="15">
      <c r="A29" s="735" t="s">
        <v>109</v>
      </c>
      <c r="B29" s="735"/>
      <c r="C29" s="298">
        <f>C25-C26-C27-C28</f>
        <v>2173.0328124999996</v>
      </c>
      <c r="D29" s="734"/>
      <c r="E29" s="731" t="s">
        <v>110</v>
      </c>
      <c r="F29" s="731"/>
      <c r="G29" s="291">
        <f>G19-G20+G27</f>
        <v>19661</v>
      </c>
      <c r="K29" s="554"/>
    </row>
    <row r="30" spans="1:11" ht="15" customHeight="1">
      <c r="A30" s="115"/>
      <c r="B30" s="115"/>
      <c r="C30" s="115"/>
      <c r="D30" s="115"/>
      <c r="E30" s="115"/>
      <c r="F30" s="115"/>
      <c r="G30" s="115"/>
      <c r="K30" s="130"/>
    </row>
    <row r="31" spans="1:7" ht="14.25" customHeight="1">
      <c r="A31" s="598" t="s">
        <v>200</v>
      </c>
      <c r="B31" s="738" t="s">
        <v>113</v>
      </c>
      <c r="C31" s="739"/>
      <c r="D31" s="739"/>
      <c r="E31" s="299" t="s">
        <v>111</v>
      </c>
      <c r="F31" s="300" t="s">
        <v>112</v>
      </c>
      <c r="G31" s="175" t="s">
        <v>36</v>
      </c>
    </row>
    <row r="32" spans="1:7" ht="15">
      <c r="A32" s="598"/>
      <c r="B32" s="738"/>
      <c r="C32" s="739"/>
      <c r="D32" s="150"/>
      <c r="E32" s="301">
        <f>C29</f>
        <v>2173.0328124999996</v>
      </c>
      <c r="F32" s="155">
        <f>G29</f>
        <v>19661</v>
      </c>
      <c r="G32" s="302">
        <f>SUM(E32:F32)</f>
        <v>21834.0328125</v>
      </c>
    </row>
    <row r="33" spans="1:7" ht="15">
      <c r="A33" s="598"/>
      <c r="B33" s="655" t="s">
        <v>209</v>
      </c>
      <c r="C33" s="656"/>
      <c r="D33" s="656"/>
      <c r="E33" s="303">
        <f>E32*HyperLink!B21</f>
        <v>391.14590624999994</v>
      </c>
      <c r="F33" s="303">
        <f>F32*HyperLink!B21</f>
        <v>3538.98</v>
      </c>
      <c r="G33" s="303">
        <f>G32*HyperLink!B21</f>
        <v>3930.1259062500003</v>
      </c>
    </row>
    <row r="34" spans="1:13" s="95" customFormat="1" ht="15">
      <c r="A34" s="598"/>
      <c r="B34" s="740" t="s">
        <v>114</v>
      </c>
      <c r="C34" s="731"/>
      <c r="D34" s="731"/>
      <c r="E34" s="304">
        <f>SUM(E32:E33)</f>
        <v>2564.1787187499995</v>
      </c>
      <c r="F34" s="304">
        <f>SUM(F32:F33)</f>
        <v>23199.98</v>
      </c>
      <c r="G34" s="305">
        <f>SUM(G32:G33)</f>
        <v>25764.15871875</v>
      </c>
      <c r="L34" s="135"/>
      <c r="M34" s="135"/>
    </row>
    <row r="35" spans="1:13" s="95" customFormat="1" ht="14.25">
      <c r="A35" s="94"/>
      <c r="B35" s="94"/>
      <c r="C35" s="94"/>
      <c r="D35" s="94"/>
      <c r="E35" s="94"/>
      <c r="F35" s="94"/>
      <c r="G35" s="133"/>
      <c r="L35" s="135"/>
      <c r="M35" s="135"/>
    </row>
    <row r="36" spans="1:13" s="95" customFormat="1" ht="14.25">
      <c r="A36" s="94"/>
      <c r="B36" s="94"/>
      <c r="C36" s="94"/>
      <c r="E36" s="134"/>
      <c r="F36" s="94"/>
      <c r="G36" s="94"/>
      <c r="L36" s="135"/>
      <c r="M36" s="135"/>
    </row>
    <row r="37" spans="1:13" s="95" customFormat="1" ht="15">
      <c r="A37" s="741" t="s">
        <v>115</v>
      </c>
      <c r="B37" s="741"/>
      <c r="C37" s="741"/>
      <c r="L37" s="135"/>
      <c r="M37" s="135"/>
    </row>
    <row r="38" spans="1:13" s="95" customFormat="1" ht="15">
      <c r="A38" s="736" t="s">
        <v>116</v>
      </c>
      <c r="B38" s="736"/>
      <c r="C38" s="136">
        <v>0.15</v>
      </c>
      <c r="L38" s="135"/>
      <c r="M38" s="135"/>
    </row>
    <row r="39" spans="1:13" s="95" customFormat="1" ht="15">
      <c r="A39" s="736" t="s">
        <v>117</v>
      </c>
      <c r="B39" s="736"/>
      <c r="C39" s="136">
        <v>0.25</v>
      </c>
      <c r="L39" s="135"/>
      <c r="M39" s="135"/>
    </row>
    <row r="40" spans="1:7" ht="12.75" customHeight="1">
      <c r="A40" s="736" t="s">
        <v>118</v>
      </c>
      <c r="B40" s="736"/>
      <c r="C40" s="136">
        <v>0.35</v>
      </c>
      <c r="D40" s="95"/>
      <c r="E40" s="95"/>
      <c r="F40" s="95"/>
      <c r="G40" s="95"/>
    </row>
    <row r="41" spans="1:7" ht="15">
      <c r="A41" s="736"/>
      <c r="B41" s="736"/>
      <c r="C41" s="136"/>
      <c r="D41" s="137"/>
      <c r="E41" s="95"/>
      <c r="F41" s="95"/>
      <c r="G41" s="95"/>
    </row>
    <row r="42" spans="1:7" ht="15">
      <c r="A42" s="737" t="s">
        <v>153</v>
      </c>
      <c r="B42" s="737"/>
      <c r="C42" s="737"/>
      <c r="E42" s="137"/>
      <c r="F42" s="137"/>
      <c r="G42" s="137"/>
    </row>
    <row r="52" ht="14.25" hidden="1"/>
    <row r="53" ht="14.25" hidden="1"/>
    <row r="54" spans="1:2" ht="14.25">
      <c r="A54" s="91" t="s">
        <v>54</v>
      </c>
      <c r="B54" s="91" t="s">
        <v>119</v>
      </c>
    </row>
    <row r="55" spans="1:2" ht="14.25">
      <c r="A55" s="91" t="b">
        <f>IF(B17="Yes",IF(B55=0,4.5%,IF(B55=1,5.5%,IF(B55=2,7%,0))))</f>
        <v>0</v>
      </c>
      <c r="B55" s="93">
        <f ca="1">YEAR(TODAY())-(G6)</f>
        <v>10</v>
      </c>
    </row>
  </sheetData>
  <sheetProtection password="CEED" sheet="1"/>
  <mergeCells count="29">
    <mergeCell ref="A39:B39"/>
    <mergeCell ref="A40:B40"/>
    <mergeCell ref="A41:B41"/>
    <mergeCell ref="A42:C42"/>
    <mergeCell ref="B31:D31"/>
    <mergeCell ref="B32:C32"/>
    <mergeCell ref="B33:D33"/>
    <mergeCell ref="B34:D34"/>
    <mergeCell ref="A37:C37"/>
    <mergeCell ref="A38:B38"/>
    <mergeCell ref="E7:F7"/>
    <mergeCell ref="A8:B8"/>
    <mergeCell ref="E8:F8"/>
    <mergeCell ref="A9:G9"/>
    <mergeCell ref="A10:C10"/>
    <mergeCell ref="D10:D29"/>
    <mergeCell ref="E10:G10"/>
    <mergeCell ref="A29:B29"/>
    <mergeCell ref="E29:F29"/>
    <mergeCell ref="B3:G3"/>
    <mergeCell ref="B4:G4"/>
    <mergeCell ref="A31:A34"/>
    <mergeCell ref="A1:G1"/>
    <mergeCell ref="A2:G2"/>
    <mergeCell ref="I2:J3"/>
    <mergeCell ref="A5:G5"/>
    <mergeCell ref="A6:B6"/>
    <mergeCell ref="E6:F6"/>
    <mergeCell ref="A7:B7"/>
  </mergeCells>
  <dataValidations count="7">
    <dataValidation type="list" allowBlank="1" showErrorMessage="1" sqref="B13 F15 B17:B19 F17 B22:B24">
      <formula1>"Yes,No"</formula1>
      <formula2>0</formula2>
    </dataValidation>
    <dataValidation type="list" allowBlank="1" showErrorMessage="1" sqref="B26">
      <formula1>"0%,20%,25%,35%,45%,50%,"</formula1>
      <formula2>0</formula2>
    </dataValidation>
    <dataValidation type="list" allowBlank="1" showErrorMessage="1" sqref="F20">
      <formula1>"750000,6000"</formula1>
      <formula2>0</formula2>
    </dataValidation>
    <dataValidation errorStyle="warning" type="list" allowBlank="1" showErrorMessage="1" sqref="B15">
      <formula1>"Yes,No"</formula1>
      <formula2>0</formula2>
    </dataValidation>
    <dataValidation type="list" allowBlank="1" showErrorMessage="1" sqref="G8">
      <formula1>"A,B,C"</formula1>
      <formula2>0</formula2>
    </dataValidation>
    <dataValidation allowBlank="1" showErrorMessage="1" sqref="B28">
      <formula1>0</formula1>
      <formula2>0</formula2>
    </dataValidation>
    <dataValidation type="list" allowBlank="1" showErrorMessage="1" sqref="B16">
      <formula1>"0,15%,25%,35%"</formula1>
    </dataValidation>
  </dataValidations>
  <hyperlinks>
    <hyperlink ref="I2" location="HyperLink!A1" display="Back to Hyperlink"/>
  </hyperlinks>
  <printOptions/>
  <pageMargins left="0.9097222222222222" right="0.4701388888888889" top="0.9840277777777777" bottom="0.9840277777777777" header="0.5118055555555555" footer="0.511805555555555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6"/>
  <sheetViews>
    <sheetView zoomScale="124" zoomScaleNormal="124" zoomScalePageLayoutView="0" workbookViewId="0" topLeftCell="A7">
      <selection activeCell="C26" sqref="C26"/>
    </sheetView>
  </sheetViews>
  <sheetFormatPr defaultColWidth="9.140625" defaultRowHeight="12.75"/>
  <cols>
    <col min="1" max="1" width="13.140625" style="10" customWidth="1"/>
    <col min="2" max="5" width="9.140625" style="10" customWidth="1"/>
    <col min="6" max="6" width="17.8515625" style="10" customWidth="1"/>
    <col min="7" max="7" width="12.28125" style="10" customWidth="1"/>
    <col min="8" max="8" width="9.140625" style="10" customWidth="1"/>
    <col min="9" max="9" width="12.57421875" style="10" customWidth="1"/>
    <col min="10" max="10" width="18.8515625" style="10" customWidth="1"/>
    <col min="11" max="16384" width="9.140625" style="10" customWidth="1"/>
  </cols>
  <sheetData>
    <row r="1" spans="1:7" ht="15.75" thickBot="1">
      <c r="A1" s="742" t="s">
        <v>170</v>
      </c>
      <c r="B1" s="742"/>
      <c r="C1" s="742"/>
      <c r="D1" s="742"/>
      <c r="E1" s="742"/>
      <c r="F1" s="742"/>
      <c r="G1" s="742"/>
    </row>
    <row r="2" spans="1:13" ht="12.75">
      <c r="A2" s="20" t="s">
        <v>49</v>
      </c>
      <c r="B2" s="21"/>
      <c r="C2" s="21"/>
      <c r="D2" s="22"/>
      <c r="E2" s="23"/>
      <c r="F2" s="20" t="s">
        <v>52</v>
      </c>
      <c r="G2" s="22" t="s">
        <v>171</v>
      </c>
      <c r="I2" s="24" t="s">
        <v>172</v>
      </c>
      <c r="J2" s="25">
        <f>GCCV_Public!C6</f>
        <v>1000000</v>
      </c>
      <c r="L2" s="10" t="s">
        <v>52</v>
      </c>
      <c r="M2" s="26">
        <f>IF(J3&lt;=F4,G4,IF(J3&lt;=F5,G5,IF(J3&lt;=F6,G6,IF(J3&lt;=F7,G7,G8))))</f>
        <v>14390</v>
      </c>
    </row>
    <row r="3" spans="1:10" ht="12.75">
      <c r="A3" s="27" t="s">
        <v>42</v>
      </c>
      <c r="B3" s="28" t="s">
        <v>173</v>
      </c>
      <c r="C3" s="28" t="s">
        <v>174</v>
      </c>
      <c r="D3" s="29" t="s">
        <v>175</v>
      </c>
      <c r="E3" s="30"/>
      <c r="F3" s="27" t="s">
        <v>176</v>
      </c>
      <c r="G3" s="29" t="s">
        <v>177</v>
      </c>
      <c r="I3" s="31" t="s">
        <v>176</v>
      </c>
      <c r="J3" s="32">
        <f>GCCV_Public!G7</f>
        <v>7000</v>
      </c>
    </row>
    <row r="4" spans="1:10" ht="12.75">
      <c r="A4" s="31">
        <v>0</v>
      </c>
      <c r="B4" s="33">
        <v>0.01726</v>
      </c>
      <c r="C4" s="33">
        <v>0.01743</v>
      </c>
      <c r="D4" s="34">
        <v>0.01751</v>
      </c>
      <c r="E4" s="35"/>
      <c r="F4" s="36">
        <v>7500</v>
      </c>
      <c r="G4" s="505">
        <v>14390</v>
      </c>
      <c r="I4" s="31" t="s">
        <v>119</v>
      </c>
      <c r="J4" s="32">
        <f ca="1">YEAR(TODAY())-GCCV_Public!G6+1</f>
        <v>4</v>
      </c>
    </row>
    <row r="5" spans="1:10" ht="12.75">
      <c r="A5" s="37">
        <v>6</v>
      </c>
      <c r="B5" s="33">
        <v>0.0177</v>
      </c>
      <c r="C5" s="33">
        <v>0.01787</v>
      </c>
      <c r="D5" s="34">
        <v>0.01795</v>
      </c>
      <c r="E5" s="35"/>
      <c r="F5" s="36">
        <v>12000</v>
      </c>
      <c r="G5" s="505">
        <v>24190</v>
      </c>
      <c r="I5" s="31" t="s">
        <v>178</v>
      </c>
      <c r="J5" s="32">
        <f>IF(GCCV_Public!G8="c",2,IF(GCCV_Public!G8="B",3,4))</f>
        <v>2</v>
      </c>
    </row>
    <row r="6" spans="1:10" ht="12.75">
      <c r="A6" s="31">
        <v>8</v>
      </c>
      <c r="B6" s="33">
        <v>0.01812</v>
      </c>
      <c r="C6" s="33">
        <v>0.0183</v>
      </c>
      <c r="D6" s="34">
        <v>0.01839</v>
      </c>
      <c r="E6" s="35"/>
      <c r="F6" s="36">
        <v>20000</v>
      </c>
      <c r="G6" s="505">
        <v>32367</v>
      </c>
      <c r="I6" s="31" t="s">
        <v>179</v>
      </c>
      <c r="J6" s="38">
        <f>IF(J4&gt;A6,VLOOKUP(A6,A4:D6,J5),IF(J4&gt;A5,VLOOKUP(A5,A4:D6,J5),VLOOKUP(A4,A4:D6,J5)))</f>
        <v>0.01726</v>
      </c>
    </row>
    <row r="7" spans="1:10" ht="12.75">
      <c r="A7" s="31"/>
      <c r="B7" s="39"/>
      <c r="C7" s="39"/>
      <c r="D7" s="32"/>
      <c r="E7" s="35"/>
      <c r="F7" s="36">
        <v>40000</v>
      </c>
      <c r="G7" s="505">
        <v>39849</v>
      </c>
      <c r="I7" s="31" t="s">
        <v>44</v>
      </c>
      <c r="J7" s="40">
        <f>J6*J2</f>
        <v>17260</v>
      </c>
    </row>
    <row r="8" spans="1:10" ht="12.75">
      <c r="A8" s="41" t="s">
        <v>141</v>
      </c>
      <c r="B8" s="42">
        <f>27/100</f>
        <v>0.27</v>
      </c>
      <c r="C8" s="42"/>
      <c r="D8" s="43"/>
      <c r="E8" s="44"/>
      <c r="F8" s="41"/>
      <c r="G8" s="506">
        <v>38308</v>
      </c>
      <c r="I8" s="41" t="s">
        <v>141</v>
      </c>
      <c r="J8" s="45">
        <f>IF(J3&gt;12000,(J3-12000)*B8,0)</f>
        <v>0</v>
      </c>
    </row>
    <row r="9" ht="12.75">
      <c r="G9" s="46"/>
    </row>
    <row r="10" spans="1:7" ht="15.75" thickBot="1">
      <c r="A10" s="742" t="s">
        <v>180</v>
      </c>
      <c r="B10" s="742"/>
      <c r="C10" s="742"/>
      <c r="D10" s="742"/>
      <c r="E10" s="742"/>
      <c r="F10" s="742"/>
      <c r="G10" s="742"/>
    </row>
    <row r="11" spans="1:13" ht="12.75">
      <c r="A11" s="20" t="s">
        <v>49</v>
      </c>
      <c r="B11" s="21"/>
      <c r="C11" s="21"/>
      <c r="D11" s="22"/>
      <c r="E11" s="23"/>
      <c r="F11" s="20" t="s">
        <v>52</v>
      </c>
      <c r="G11" s="22" t="s">
        <v>181</v>
      </c>
      <c r="I11" s="24" t="s">
        <v>172</v>
      </c>
      <c r="J11" s="25">
        <f>SUM(GCCV_Private!C6)</f>
        <v>100000</v>
      </c>
      <c r="L11" s="10" t="s">
        <v>52</v>
      </c>
      <c r="M11" s="26">
        <f>IF(J12&lt;=F13,G13,IF(J12&lt;=F14,G14,IF(J12&lt;=F15,G15,IF(J12&lt;=F16,G16,G17))))</f>
        <v>15620</v>
      </c>
    </row>
    <row r="12" spans="1:10" ht="12.75">
      <c r="A12" s="27" t="s">
        <v>42</v>
      </c>
      <c r="B12" s="28" t="s">
        <v>173</v>
      </c>
      <c r="C12" s="28" t="s">
        <v>174</v>
      </c>
      <c r="D12" s="29" t="s">
        <v>175</v>
      </c>
      <c r="E12" s="30"/>
      <c r="F12" s="27" t="s">
        <v>176</v>
      </c>
      <c r="G12" s="29" t="s">
        <v>177</v>
      </c>
      <c r="I12" s="31" t="s">
        <v>176</v>
      </c>
      <c r="J12" s="32">
        <f>SUM(GCCV_Private!G7)</f>
        <v>12000</v>
      </c>
    </row>
    <row r="13" spans="1:10" ht="12.75">
      <c r="A13" s="31">
        <v>0</v>
      </c>
      <c r="B13" s="33">
        <v>0.01208</v>
      </c>
      <c r="C13" s="33">
        <v>0.0122</v>
      </c>
      <c r="D13" s="34">
        <v>0.01226</v>
      </c>
      <c r="E13" s="35"/>
      <c r="F13" s="36">
        <v>7500</v>
      </c>
      <c r="G13" s="505">
        <v>7144</v>
      </c>
      <c r="I13" s="31" t="s">
        <v>119</v>
      </c>
      <c r="J13" s="32">
        <f ca="1">YEAR(TODAY())-GCCV_Private!G6+1</f>
        <v>8</v>
      </c>
    </row>
    <row r="14" spans="1:10" ht="12.75">
      <c r="A14" s="37">
        <v>6</v>
      </c>
      <c r="B14" s="33">
        <v>0.01239</v>
      </c>
      <c r="C14" s="33">
        <v>0.01251</v>
      </c>
      <c r="D14" s="34">
        <v>0.01257</v>
      </c>
      <c r="E14" s="35"/>
      <c r="F14" s="36">
        <v>12000</v>
      </c>
      <c r="G14" s="505">
        <v>15620</v>
      </c>
      <c r="I14" s="31" t="s">
        <v>178</v>
      </c>
      <c r="J14" s="32">
        <f>IF(GCCV_Private!G8="c",2,IF(GCCV_Private!G8="B",3,4))</f>
        <v>2</v>
      </c>
    </row>
    <row r="15" spans="1:10" ht="12.75">
      <c r="A15" s="31">
        <v>8</v>
      </c>
      <c r="B15" s="33">
        <v>0.01268</v>
      </c>
      <c r="C15" s="33">
        <v>0.01281</v>
      </c>
      <c r="D15" s="34">
        <v>0.01287</v>
      </c>
      <c r="E15" s="35"/>
      <c r="F15" s="36">
        <v>20000</v>
      </c>
      <c r="G15" s="505">
        <v>9871</v>
      </c>
      <c r="I15" s="31" t="s">
        <v>179</v>
      </c>
      <c r="J15" s="38">
        <f>IF(J13&gt;A15,VLOOKUP(A15,A13:D15,J14),IF(J13&gt;A14,VLOOKUP(A14,A13:D15,J14),VLOOKUP(A13,A13:D15,J14)))</f>
        <v>0.01239</v>
      </c>
    </row>
    <row r="16" spans="1:10" ht="12.75">
      <c r="A16" s="31"/>
      <c r="B16" s="39"/>
      <c r="C16" s="39"/>
      <c r="D16" s="32"/>
      <c r="E16" s="35"/>
      <c r="F16" s="36">
        <v>40000</v>
      </c>
      <c r="G16" s="505">
        <v>15397</v>
      </c>
      <c r="I16" s="31" t="s">
        <v>44</v>
      </c>
      <c r="J16" s="40">
        <f>J15*J11</f>
        <v>1239</v>
      </c>
    </row>
    <row r="17" spans="1:10" ht="12.75">
      <c r="A17" s="41" t="s">
        <v>141</v>
      </c>
      <c r="B17" s="42">
        <f>27/100</f>
        <v>0.27</v>
      </c>
      <c r="C17" s="42"/>
      <c r="D17" s="43"/>
      <c r="E17" s="44"/>
      <c r="F17" s="41"/>
      <c r="G17" s="506">
        <v>21318</v>
      </c>
      <c r="I17" s="41" t="s">
        <v>141</v>
      </c>
      <c r="J17" s="45">
        <f>IF(J12&gt;12000,(J12-12000)*B17,0)</f>
        <v>0</v>
      </c>
    </row>
    <row r="19" spans="1:7" ht="16.5" thickBot="1">
      <c r="A19" s="743" t="s">
        <v>182</v>
      </c>
      <c r="B19" s="743"/>
      <c r="C19" s="743"/>
      <c r="D19" s="743"/>
      <c r="E19" s="743"/>
      <c r="F19" s="743"/>
      <c r="G19" s="743"/>
    </row>
    <row r="20" spans="1:10" ht="12.75">
      <c r="A20" s="20" t="s">
        <v>49</v>
      </c>
      <c r="B20" s="21"/>
      <c r="C20" s="21"/>
      <c r="D20" s="22"/>
      <c r="E20" s="23"/>
      <c r="F20" s="20" t="s">
        <v>52</v>
      </c>
      <c r="G20" s="22" t="s">
        <v>183</v>
      </c>
      <c r="I20" s="24" t="s">
        <v>172</v>
      </c>
      <c r="J20" s="47">
        <f>'Misc  Class D'!C6</f>
        <v>100000</v>
      </c>
    </row>
    <row r="21" spans="1:10" ht="12.75">
      <c r="A21" s="27" t="s">
        <v>42</v>
      </c>
      <c r="B21" s="28" t="s">
        <v>173</v>
      </c>
      <c r="C21" s="28" t="s">
        <v>174</v>
      </c>
      <c r="D21" s="29" t="s">
        <v>175</v>
      </c>
      <c r="E21" s="30"/>
      <c r="F21" s="27" t="s">
        <v>184</v>
      </c>
      <c r="G21" s="29" t="s">
        <v>177</v>
      </c>
      <c r="I21" s="27" t="s">
        <v>119</v>
      </c>
      <c r="J21" s="437">
        <f ca="1">YEAR(TODAY())-'Misc  Class D'!G6</f>
        <v>7</v>
      </c>
    </row>
    <row r="22" spans="1:10" ht="13.5" thickBot="1">
      <c r="A22" s="48">
        <v>0</v>
      </c>
      <c r="B22" s="50">
        <v>0.0119</v>
      </c>
      <c r="C22" s="50">
        <v>0.01202</v>
      </c>
      <c r="D22" s="439">
        <v>0.01208</v>
      </c>
      <c r="E22" s="35"/>
      <c r="F22" s="36" t="s">
        <v>163</v>
      </c>
      <c r="G22" s="505">
        <v>6115</v>
      </c>
      <c r="I22" s="48" t="s">
        <v>178</v>
      </c>
      <c r="J22" s="32">
        <f>IF('Misc  Class D'!G8="c",2,IF('Misc  Class D'!G8="B",3,4))</f>
        <v>2</v>
      </c>
    </row>
    <row r="23" spans="1:10" ht="12.75">
      <c r="A23" s="37">
        <v>6</v>
      </c>
      <c r="B23" s="33">
        <v>0.0122</v>
      </c>
      <c r="C23" s="33">
        <v>0.01232</v>
      </c>
      <c r="D23" s="34">
        <v>0.01238</v>
      </c>
      <c r="E23" s="35"/>
      <c r="F23" s="36" t="s">
        <v>185</v>
      </c>
      <c r="G23" s="505">
        <v>816</v>
      </c>
      <c r="I23" s="48" t="s">
        <v>184</v>
      </c>
      <c r="J23" s="32" t="str">
        <f>'Misc  Class D'!G7</f>
        <v>Others</v>
      </c>
    </row>
    <row r="24" spans="1:10" ht="13.5" thickBot="1">
      <c r="A24" s="438">
        <v>8</v>
      </c>
      <c r="B24" s="33">
        <v>0.0125</v>
      </c>
      <c r="C24" s="33">
        <v>0.01262</v>
      </c>
      <c r="D24" s="34">
        <v>0.01268</v>
      </c>
      <c r="E24" s="44"/>
      <c r="F24" s="51" t="s">
        <v>186</v>
      </c>
      <c r="G24" s="506">
        <v>2091</v>
      </c>
      <c r="I24" s="48" t="s">
        <v>179</v>
      </c>
      <c r="J24" s="38">
        <f>IF(J21&gt;A24,VLOOKUP(A24,A22:D24,J22),IF(J21&gt;A23,VLOOKUP(A23,A22:D24,J22),VLOOKUP(A22,A22:D24,J22)))</f>
        <v>0.0122</v>
      </c>
    </row>
    <row r="25" spans="7:10" ht="12.75">
      <c r="G25" s="52"/>
      <c r="I25" s="48" t="s">
        <v>44</v>
      </c>
      <c r="J25" s="32">
        <f>J20*J24</f>
        <v>1220</v>
      </c>
    </row>
    <row r="26" spans="9:10" ht="13.5" thickBot="1">
      <c r="I26" s="49" t="s">
        <v>46</v>
      </c>
      <c r="J26" s="43">
        <f>VLOOKUP(J23,F22:G24,2)</f>
        <v>6115</v>
      </c>
    </row>
  </sheetData>
  <sheetProtection selectLockedCells="1" selectUnlockedCells="1"/>
  <mergeCells count="3">
    <mergeCell ref="A1:G1"/>
    <mergeCell ref="A10:G10"/>
    <mergeCell ref="A19:G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8.421875" style="138" customWidth="1"/>
    <col min="2" max="2" width="7.28125" style="145" customWidth="1"/>
    <col min="3" max="3" width="10.421875" style="146" customWidth="1"/>
    <col min="4" max="4" width="3.140625" style="138" customWidth="1"/>
    <col min="5" max="5" width="23.7109375" style="138" customWidth="1"/>
    <col min="6" max="6" width="9.8515625" style="145" customWidth="1"/>
    <col min="7" max="7" width="11.421875" style="146" customWidth="1"/>
    <col min="8" max="8" width="10.28125" style="138" customWidth="1"/>
    <col min="9" max="9" width="9.8515625" style="138" customWidth="1"/>
    <col min="10" max="10" width="19.8515625" style="138" customWidth="1"/>
    <col min="11" max="16384" width="9.140625" style="138" customWidth="1"/>
  </cols>
  <sheetData>
    <row r="1" spans="1:7" ht="15">
      <c r="A1" s="666" t="s">
        <v>0</v>
      </c>
      <c r="B1" s="666"/>
      <c r="C1" s="666"/>
      <c r="D1" s="666"/>
      <c r="E1" s="666"/>
      <c r="F1" s="666"/>
      <c r="G1" s="666"/>
    </row>
    <row r="2" spans="1:9" ht="15">
      <c r="A2" s="620" t="s">
        <v>231</v>
      </c>
      <c r="B2" s="620"/>
      <c r="C2" s="620" t="s">
        <v>119</v>
      </c>
      <c r="D2" s="620"/>
      <c r="E2" s="620"/>
      <c r="F2" s="620"/>
      <c r="G2" s="620"/>
      <c r="I2" s="747" t="s">
        <v>27</v>
      </c>
    </row>
    <row r="3" spans="1:9" ht="15">
      <c r="A3" s="522" t="s">
        <v>235</v>
      </c>
      <c r="B3" s="744"/>
      <c r="C3" s="745"/>
      <c r="D3" s="745"/>
      <c r="E3" s="745"/>
      <c r="F3" s="745"/>
      <c r="G3" s="746"/>
      <c r="I3" s="748"/>
    </row>
    <row r="4" spans="1:7" ht="15">
      <c r="A4" s="522" t="s">
        <v>234</v>
      </c>
      <c r="B4" s="744"/>
      <c r="C4" s="745"/>
      <c r="D4" s="745"/>
      <c r="E4" s="745"/>
      <c r="F4" s="745"/>
      <c r="G4" s="746"/>
    </row>
    <row r="5" spans="1:7" ht="15">
      <c r="A5" s="658" t="s">
        <v>76</v>
      </c>
      <c r="B5" s="658"/>
      <c r="C5" s="658"/>
      <c r="D5" s="658"/>
      <c r="E5" s="658"/>
      <c r="F5" s="658"/>
      <c r="G5" s="658"/>
    </row>
    <row r="6" spans="1:7" ht="14.25">
      <c r="A6" s="585" t="s">
        <v>134</v>
      </c>
      <c r="B6" s="585"/>
      <c r="C6" s="257">
        <v>100000</v>
      </c>
      <c r="D6" s="585"/>
      <c r="E6" s="585" t="s">
        <v>80</v>
      </c>
      <c r="F6" s="585"/>
      <c r="G6" s="258">
        <v>2011</v>
      </c>
    </row>
    <row r="7" spans="1:9" ht="14.25">
      <c r="A7" s="585" t="s">
        <v>87</v>
      </c>
      <c r="B7" s="585"/>
      <c r="C7" s="257">
        <v>0</v>
      </c>
      <c r="D7" s="585"/>
      <c r="E7" s="585" t="s">
        <v>162</v>
      </c>
      <c r="F7" s="585"/>
      <c r="G7" s="258" t="s">
        <v>163</v>
      </c>
      <c r="I7" s="139"/>
    </row>
    <row r="8" spans="1:9" ht="14.25">
      <c r="A8" s="585" t="s">
        <v>137</v>
      </c>
      <c r="B8" s="585"/>
      <c r="C8" s="257">
        <v>0</v>
      </c>
      <c r="D8" s="585"/>
      <c r="E8" s="613" t="s">
        <v>40</v>
      </c>
      <c r="F8" s="613"/>
      <c r="G8" s="259" t="s">
        <v>91</v>
      </c>
      <c r="I8" s="139"/>
    </row>
    <row r="9" spans="1:9" ht="15">
      <c r="A9" s="750" t="s">
        <v>138</v>
      </c>
      <c r="B9" s="750"/>
      <c r="C9" s="750"/>
      <c r="D9" s="750"/>
      <c r="E9" s="750"/>
      <c r="F9" s="750"/>
      <c r="G9" s="750"/>
      <c r="I9" s="139"/>
    </row>
    <row r="10" spans="1:9" ht="15">
      <c r="A10" s="749" t="s">
        <v>83</v>
      </c>
      <c r="B10" s="749"/>
      <c r="C10" s="749"/>
      <c r="D10" s="751"/>
      <c r="E10" s="749" t="s">
        <v>84</v>
      </c>
      <c r="F10" s="749"/>
      <c r="G10" s="749"/>
      <c r="I10" s="139"/>
    </row>
    <row r="11" spans="1:9" ht="14.25">
      <c r="A11" s="260" t="s">
        <v>139</v>
      </c>
      <c r="B11" s="182"/>
      <c r="C11" s="261">
        <f>Database!J25</f>
        <v>1220</v>
      </c>
      <c r="D11" s="751"/>
      <c r="E11" s="260" t="s">
        <v>46</v>
      </c>
      <c r="F11" s="182"/>
      <c r="G11" s="261">
        <f>Database!J26</f>
        <v>6115</v>
      </c>
      <c r="I11" s="139"/>
    </row>
    <row r="12" spans="1:9" ht="14.25">
      <c r="A12" s="260" t="s">
        <v>87</v>
      </c>
      <c r="B12" s="182"/>
      <c r="C12" s="261">
        <f>C7*0.04</f>
        <v>0</v>
      </c>
      <c r="D12" s="751"/>
      <c r="E12" s="260" t="s">
        <v>58</v>
      </c>
      <c r="F12" s="182" t="s">
        <v>88</v>
      </c>
      <c r="G12" s="261">
        <f>IF(F12="Yes",2091,0)</f>
        <v>2091</v>
      </c>
      <c r="I12" s="139"/>
    </row>
    <row r="13" spans="1:9" ht="14.25">
      <c r="A13" s="260" t="s">
        <v>142</v>
      </c>
      <c r="B13" s="182"/>
      <c r="C13" s="261">
        <f>IF(C8&gt;0,4%*C8,0)</f>
        <v>0</v>
      </c>
      <c r="D13" s="751"/>
      <c r="E13" s="260" t="s">
        <v>142</v>
      </c>
      <c r="F13" s="182"/>
      <c r="G13" s="261">
        <f>IF(C8&gt;0,60,0)</f>
        <v>0</v>
      </c>
      <c r="I13" s="139"/>
    </row>
    <row r="14" spans="1:9" ht="15">
      <c r="A14" s="262" t="s">
        <v>92</v>
      </c>
      <c r="B14" s="263"/>
      <c r="C14" s="264">
        <f>SUM(C11-C12+C13)</f>
        <v>1220</v>
      </c>
      <c r="D14" s="751"/>
      <c r="E14" s="262" t="s">
        <v>143</v>
      </c>
      <c r="F14" s="265"/>
      <c r="G14" s="264">
        <f>SUM(G11:G12)</f>
        <v>8206</v>
      </c>
      <c r="I14" s="139"/>
    </row>
    <row r="15" spans="1:9" ht="14.25">
      <c r="A15" s="260" t="s">
        <v>144</v>
      </c>
      <c r="B15" s="182" t="s">
        <v>88</v>
      </c>
      <c r="C15" s="261">
        <f>IF(B15="Yes",(C11+C12+C13+C18+C17)*0.15,IF(B15="No",0))</f>
        <v>183</v>
      </c>
      <c r="D15" s="751"/>
      <c r="E15" s="260" t="s">
        <v>126</v>
      </c>
      <c r="F15" s="182" t="s">
        <v>88</v>
      </c>
      <c r="G15" s="261">
        <f>IF(F15="Yes",50*F16,0)</f>
        <v>150</v>
      </c>
      <c r="I15" s="139"/>
    </row>
    <row r="16" spans="1:9" ht="14.25">
      <c r="A16" s="266" t="s">
        <v>95</v>
      </c>
      <c r="B16" s="267" t="s">
        <v>35</v>
      </c>
      <c r="C16" s="268">
        <f>C6*A54/10</f>
        <v>0</v>
      </c>
      <c r="D16" s="751"/>
      <c r="E16" s="260" t="s">
        <v>145</v>
      </c>
      <c r="F16" s="182">
        <v>3</v>
      </c>
      <c r="G16" s="261"/>
      <c r="I16" s="139"/>
    </row>
    <row r="17" spans="1:9" ht="14.25">
      <c r="A17" s="260" t="s">
        <v>96</v>
      </c>
      <c r="B17" s="182" t="s">
        <v>35</v>
      </c>
      <c r="C17" s="261">
        <f>IF(B17="Yes",500,0)</f>
        <v>0</v>
      </c>
      <c r="D17" s="751"/>
      <c r="E17" s="269" t="s">
        <v>147</v>
      </c>
      <c r="F17" s="182" t="s">
        <v>163</v>
      </c>
      <c r="G17" s="261">
        <f>IF(F17="Ambulance",F18*60,IF(F17="No",0,F18*60))</f>
        <v>0</v>
      </c>
      <c r="I17" s="139"/>
    </row>
    <row r="18" spans="1:9" ht="14.25">
      <c r="A18" s="260" t="s">
        <v>164</v>
      </c>
      <c r="B18" s="182" t="s">
        <v>35</v>
      </c>
      <c r="C18" s="261">
        <f>IF(B18="Yes",MAX(100,C6*0.5%),0)</f>
        <v>0</v>
      </c>
      <c r="D18" s="751"/>
      <c r="E18" s="260" t="s">
        <v>155</v>
      </c>
      <c r="F18" s="182">
        <v>0</v>
      </c>
      <c r="G18" s="261"/>
      <c r="I18" s="139"/>
    </row>
    <row r="19" spans="1:9" ht="14.25">
      <c r="A19" s="260" t="s">
        <v>129</v>
      </c>
      <c r="B19" s="182" t="s">
        <v>35</v>
      </c>
      <c r="C19" s="261">
        <f>IF(B19="Yes",50,0)</f>
        <v>0</v>
      </c>
      <c r="D19" s="751"/>
      <c r="E19" s="260" t="s">
        <v>165</v>
      </c>
      <c r="F19" s="182" t="s">
        <v>88</v>
      </c>
      <c r="G19" s="261">
        <f>IF(F19="Yes",750,0)</f>
        <v>750</v>
      </c>
      <c r="I19" s="139"/>
    </row>
    <row r="20" spans="1:9" ht="14.25">
      <c r="A20" s="260" t="s">
        <v>166</v>
      </c>
      <c r="B20" s="182" t="s">
        <v>35</v>
      </c>
      <c r="C20" s="261">
        <f>IF(B20="Yes",0.25*C14,0)</f>
        <v>0</v>
      </c>
      <c r="D20" s="751"/>
      <c r="E20" s="260" t="s">
        <v>167</v>
      </c>
      <c r="F20" s="182">
        <v>0</v>
      </c>
      <c r="G20" s="261">
        <f>F20*50</f>
        <v>0</v>
      </c>
      <c r="I20" s="139"/>
    </row>
    <row r="21" spans="1:9" ht="14.25">
      <c r="A21" s="260" t="s">
        <v>130</v>
      </c>
      <c r="B21" s="182" t="s">
        <v>35</v>
      </c>
      <c r="C21" s="261">
        <f>IF(B21="Yes",C14*0.6,0)</f>
        <v>0</v>
      </c>
      <c r="D21" s="751"/>
      <c r="E21" s="260" t="s">
        <v>166</v>
      </c>
      <c r="F21" s="182">
        <v>0</v>
      </c>
      <c r="G21" s="261">
        <f>IF(C20=0,0,0.25*G14)</f>
        <v>0</v>
      </c>
      <c r="I21" s="139"/>
    </row>
    <row r="22" spans="1:7" ht="15">
      <c r="A22" s="262" t="s">
        <v>131</v>
      </c>
      <c r="B22" s="263"/>
      <c r="C22" s="264">
        <f>SUM(C14:C21)</f>
        <v>1403</v>
      </c>
      <c r="D22" s="751"/>
      <c r="E22" s="262" t="s">
        <v>149</v>
      </c>
      <c r="F22" s="263"/>
      <c r="G22" s="264">
        <f>SUM(G14,G15,G17,G19,G20)</f>
        <v>9106</v>
      </c>
    </row>
    <row r="23" spans="1:7" ht="14.25">
      <c r="A23" s="260" t="s">
        <v>150</v>
      </c>
      <c r="B23" s="182"/>
      <c r="C23" s="261"/>
      <c r="D23" s="751"/>
      <c r="E23" s="260" t="s">
        <v>68</v>
      </c>
      <c r="F23" s="182">
        <v>750000</v>
      </c>
      <c r="G23" s="261">
        <f>IF(F23=750000,0,200)</f>
        <v>0</v>
      </c>
    </row>
    <row r="24" spans="1:7" ht="15">
      <c r="A24" s="260" t="s">
        <v>67</v>
      </c>
      <c r="B24" s="182" t="s">
        <v>35</v>
      </c>
      <c r="C24" s="261">
        <f>IF(B24="Yes",MIN(C22*0.025,500),0)</f>
        <v>0</v>
      </c>
      <c r="D24" s="751"/>
      <c r="E24" s="270"/>
      <c r="F24" s="182"/>
      <c r="G24" s="261"/>
    </row>
    <row r="25" spans="1:7" ht="15">
      <c r="A25" s="260" t="s">
        <v>62</v>
      </c>
      <c r="B25" s="182" t="s">
        <v>35</v>
      </c>
      <c r="C25" s="261">
        <f>IF(B25="Yes",MIN(C22*0.05,200),0)</f>
        <v>0</v>
      </c>
      <c r="D25" s="751"/>
      <c r="E25" s="270"/>
      <c r="F25" s="182"/>
      <c r="G25" s="261"/>
    </row>
    <row r="26" spans="1:10" ht="15">
      <c r="A26" s="260" t="s">
        <v>133</v>
      </c>
      <c r="B26" s="182" t="s">
        <v>35</v>
      </c>
      <c r="C26" s="261">
        <f>IF(B26="Yes",C22*(1/3),0)</f>
        <v>0</v>
      </c>
      <c r="D26" s="751"/>
      <c r="E26" s="270"/>
      <c r="F26" s="182"/>
      <c r="G26" s="261"/>
      <c r="I26" s="140"/>
      <c r="J26" s="140"/>
    </row>
    <row r="27" spans="1:7" s="140" customFormat="1" ht="15">
      <c r="A27" s="262" t="s">
        <v>151</v>
      </c>
      <c r="B27" s="263"/>
      <c r="C27" s="264">
        <f>C11+C15+C16+C18</f>
        <v>1403</v>
      </c>
      <c r="D27" s="751"/>
      <c r="E27" s="271"/>
      <c r="F27" s="272"/>
      <c r="G27" s="273"/>
    </row>
    <row r="28" spans="1:10" s="140" customFormat="1" ht="15">
      <c r="A28" s="260" t="s">
        <v>73</v>
      </c>
      <c r="B28" s="185">
        <v>0</v>
      </c>
      <c r="C28" s="261">
        <f>(C14+C15-C29)*B28</f>
        <v>0</v>
      </c>
      <c r="D28" s="751"/>
      <c r="E28" s="270"/>
      <c r="F28" s="182"/>
      <c r="G28" s="261"/>
      <c r="I28" s="138"/>
      <c r="J28" s="138"/>
    </row>
    <row r="29" spans="1:7" ht="15">
      <c r="A29" s="260" t="s">
        <v>108</v>
      </c>
      <c r="B29" s="274">
        <v>0</v>
      </c>
      <c r="C29" s="275">
        <f>(C11+C15)*B29</f>
        <v>0</v>
      </c>
      <c r="D29" s="751"/>
      <c r="E29" s="270"/>
      <c r="F29" s="182"/>
      <c r="G29" s="261"/>
    </row>
    <row r="30" spans="1:7" ht="15">
      <c r="A30" s="262" t="s">
        <v>109</v>
      </c>
      <c r="B30" s="265"/>
      <c r="C30" s="276">
        <f>C27-C28-C29</f>
        <v>1403</v>
      </c>
      <c r="D30" s="751"/>
      <c r="E30" s="262" t="s">
        <v>110</v>
      </c>
      <c r="F30" s="265"/>
      <c r="G30" s="277">
        <f>G22-G23+G27</f>
        <v>9106</v>
      </c>
    </row>
    <row r="31" spans="1:7" ht="15">
      <c r="A31" s="140"/>
      <c r="B31" s="141"/>
      <c r="C31" s="142"/>
      <c r="E31" s="140"/>
      <c r="F31" s="141"/>
      <c r="G31" s="142"/>
    </row>
    <row r="33" spans="2:7" ht="15">
      <c r="B33" s="752" t="s">
        <v>113</v>
      </c>
      <c r="C33" s="752"/>
      <c r="D33" s="752"/>
      <c r="E33" s="279" t="s">
        <v>111</v>
      </c>
      <c r="F33" s="174" t="s">
        <v>112</v>
      </c>
      <c r="G33" s="280" t="s">
        <v>36</v>
      </c>
    </row>
    <row r="34" spans="2:8" ht="15">
      <c r="B34" s="281"/>
      <c r="C34" s="282"/>
      <c r="D34" s="270"/>
      <c r="E34" s="283">
        <f>C30</f>
        <v>1403</v>
      </c>
      <c r="F34" s="284">
        <f>G30</f>
        <v>9106</v>
      </c>
      <c r="G34" s="261">
        <f>SUM(E34:F34)</f>
        <v>10509</v>
      </c>
      <c r="H34" s="143"/>
    </row>
    <row r="35" spans="2:7" ht="15">
      <c r="B35" s="655" t="s">
        <v>209</v>
      </c>
      <c r="C35" s="656"/>
      <c r="D35" s="656"/>
      <c r="E35" s="283">
        <f>E34*HyperLink!B21</f>
        <v>252.54</v>
      </c>
      <c r="F35" s="285">
        <f>F34*HyperLink!B21</f>
        <v>1639.08</v>
      </c>
      <c r="G35" s="176">
        <f>G34*HyperLink!B21</f>
        <v>1891.62</v>
      </c>
    </row>
    <row r="36" spans="2:7" ht="15">
      <c r="B36" s="749" t="s">
        <v>114</v>
      </c>
      <c r="C36" s="749"/>
      <c r="D36" s="749"/>
      <c r="E36" s="286">
        <f>SUM(E34:E35)</f>
        <v>1655.54</v>
      </c>
      <c r="F36" s="287">
        <f>SUM(F34:F35)</f>
        <v>10745.08</v>
      </c>
      <c r="G36" s="277">
        <f>SUM(G34:G35)</f>
        <v>12400.619999999999</v>
      </c>
    </row>
    <row r="37" spans="2:4" ht="14.25">
      <c r="B37" s="125"/>
      <c r="C37" s="144"/>
      <c r="D37" s="143"/>
    </row>
    <row r="38" spans="2:4" ht="14.25">
      <c r="B38" s="125"/>
      <c r="C38" s="144"/>
      <c r="D38" s="143"/>
    </row>
    <row r="39" spans="2:4" ht="14.25">
      <c r="B39" s="125"/>
      <c r="C39" s="144"/>
      <c r="D39" s="143"/>
    </row>
    <row r="40" spans="2:4" ht="14.25">
      <c r="B40" s="125"/>
      <c r="C40" s="144"/>
      <c r="D40" s="143"/>
    </row>
    <row r="41" spans="2:4" ht="14.25">
      <c r="B41" s="125"/>
      <c r="C41" s="144"/>
      <c r="D41" s="143"/>
    </row>
    <row r="42" spans="2:4" ht="14.25">
      <c r="B42" s="125"/>
      <c r="C42" s="144"/>
      <c r="D42" s="143"/>
    </row>
    <row r="43" spans="2:3" ht="14.25">
      <c r="B43" s="125"/>
      <c r="C43" s="144"/>
    </row>
    <row r="53" spans="1:2" ht="14.25">
      <c r="A53" s="147" t="s">
        <v>54</v>
      </c>
      <c r="B53" s="91" t="s">
        <v>119</v>
      </c>
    </row>
    <row r="54" spans="1:2" ht="14.25">
      <c r="A54" s="148" t="b">
        <f>IF(B16="Yes",IF(B54=0,4.5%,IF(B54=1,5.5%,IF(B54=2,7%,0))))</f>
        <v>0</v>
      </c>
      <c r="B54" s="93">
        <f ca="1">YEAR(TODAY())-(G6)</f>
        <v>7</v>
      </c>
    </row>
  </sheetData>
  <sheetProtection password="CEED" sheet="1"/>
  <mergeCells count="20">
    <mergeCell ref="B35:D35"/>
    <mergeCell ref="B36:D36"/>
    <mergeCell ref="E8:F8"/>
    <mergeCell ref="A9:G9"/>
    <mergeCell ref="A10:C10"/>
    <mergeCell ref="D10:D30"/>
    <mergeCell ref="E10:G10"/>
    <mergeCell ref="B33:D33"/>
    <mergeCell ref="A6:B6"/>
    <mergeCell ref="D6:D8"/>
    <mergeCell ref="E6:F6"/>
    <mergeCell ref="A7:B7"/>
    <mergeCell ref="E7:F7"/>
    <mergeCell ref="A8:B8"/>
    <mergeCell ref="B3:G3"/>
    <mergeCell ref="B4:G4"/>
    <mergeCell ref="A1:G1"/>
    <mergeCell ref="A2:G2"/>
    <mergeCell ref="I2:I3"/>
    <mergeCell ref="A5:G5"/>
  </mergeCells>
  <dataValidations count="7">
    <dataValidation type="list" allowBlank="1" showErrorMessage="1" sqref="F12 F15 B16:B21 B24:B26">
      <formula1>"Yes,No"</formula1>
      <formula2>0</formula2>
    </dataValidation>
    <dataValidation type="list" allowBlank="1" showErrorMessage="1" sqref="B15 F19">
      <formula1>"No,Yes"</formula1>
      <formula2>0</formula2>
    </dataValidation>
    <dataValidation type="list" allowBlank="1" showErrorMessage="1" sqref="F17">
      <formula1>"Ambulance,Others"</formula1>
      <formula2>0</formula2>
    </dataValidation>
    <dataValidation type="list" allowBlank="1" showErrorMessage="1" sqref="F23">
      <formula1>"750000,6000"</formula1>
      <formula2>0</formula2>
    </dataValidation>
    <dataValidation type="list" allowBlank="1" showErrorMessage="1" sqref="B28">
      <formula1>"0%,20%,25%,35%,45%,50%,55%,65%"</formula1>
      <formula2>0</formula2>
    </dataValidation>
    <dataValidation type="list" allowBlank="1" showErrorMessage="1" sqref="G8">
      <formula1>"A,B,C"</formula1>
      <formula2>0</formula2>
    </dataValidation>
    <dataValidation type="list" allowBlank="1" showErrorMessage="1" sqref="G7">
      <formula1>"Tractors under 6 HP,Others"</formula1>
    </dataValidation>
  </dataValidations>
  <hyperlinks>
    <hyperlink ref="I2" location="HyperLink!A1" display="BACK"/>
  </hyperlinks>
  <printOptions/>
  <pageMargins left="0.7479166666666667" right="0.30972222222222223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6" sqref="A16"/>
    </sheetView>
  </sheetViews>
  <sheetFormatPr defaultColWidth="22.421875" defaultRowHeight="21" customHeight="1"/>
  <cols>
    <col min="1" max="1" width="61.8515625" style="1" customWidth="1"/>
    <col min="2" max="2" width="10.7109375" style="1" customWidth="1"/>
    <col min="3" max="3" width="15.8515625" style="1" customWidth="1"/>
    <col min="4" max="4" width="9.28125" style="1" customWidth="1"/>
    <col min="5" max="5" width="5.8515625" style="1" customWidth="1"/>
    <col min="6" max="6" width="5.28125" style="1" customWidth="1"/>
    <col min="7" max="16384" width="22.421875" style="1" customWidth="1"/>
  </cols>
  <sheetData>
    <row r="1" spans="1:3" ht="21" customHeight="1">
      <c r="A1" s="577" t="s">
        <v>25</v>
      </c>
      <c r="B1" s="577"/>
      <c r="C1" s="577"/>
    </row>
    <row r="2" spans="1:6" ht="21" customHeight="1">
      <c r="A2" s="578" t="s">
        <v>26</v>
      </c>
      <c r="B2" s="578"/>
      <c r="C2" s="578"/>
      <c r="E2" s="579" t="s">
        <v>27</v>
      </c>
      <c r="F2" s="579"/>
    </row>
    <row r="3" spans="1:6" ht="21" customHeight="1">
      <c r="A3" s="580" t="s">
        <v>28</v>
      </c>
      <c r="B3" s="580"/>
      <c r="C3" s="580"/>
      <c r="E3" s="579"/>
      <c r="F3" s="579"/>
    </row>
    <row r="4" spans="1:3" ht="21" customHeight="1">
      <c r="A4" s="444" t="s">
        <v>199</v>
      </c>
      <c r="B4" s="2"/>
      <c r="C4" s="431">
        <v>1000</v>
      </c>
    </row>
    <row r="5" spans="1:3" ht="21" customHeight="1">
      <c r="A5" s="445" t="s">
        <v>29</v>
      </c>
      <c r="B5" s="2"/>
      <c r="C5" s="432">
        <v>43076</v>
      </c>
    </row>
    <row r="6" spans="1:3" ht="21" customHeight="1">
      <c r="A6" s="3" t="s">
        <v>30</v>
      </c>
      <c r="B6" s="2"/>
      <c r="C6" s="278">
        <f ca="1">TODAY()</f>
        <v>43382</v>
      </c>
    </row>
    <row r="7" spans="1:3" ht="21" customHeight="1">
      <c r="A7" s="3" t="s">
        <v>31</v>
      </c>
      <c r="B7" s="2"/>
      <c r="C7" s="4">
        <f>C5-C6</f>
        <v>-306</v>
      </c>
    </row>
    <row r="8" spans="1:3" ht="21" customHeight="1">
      <c r="A8" s="3" t="s">
        <v>32</v>
      </c>
      <c r="B8" s="2"/>
      <c r="C8" s="5">
        <f>C4/365*C7</f>
        <v>-838.3561643835616</v>
      </c>
    </row>
    <row r="9" spans="1:3" ht="21" customHeight="1">
      <c r="A9" s="3" t="s">
        <v>33</v>
      </c>
      <c r="B9" s="2"/>
      <c r="C9" s="5">
        <v>50</v>
      </c>
    </row>
    <row r="10" spans="1:3" ht="21" customHeight="1">
      <c r="A10" s="3" t="s">
        <v>34</v>
      </c>
      <c r="B10" s="6" t="s">
        <v>35</v>
      </c>
      <c r="C10" s="7">
        <f>IF(B10="Yes",50,0)</f>
        <v>0</v>
      </c>
    </row>
    <row r="11" spans="1:3" ht="21" customHeight="1">
      <c r="A11" s="3" t="s">
        <v>36</v>
      </c>
      <c r="B11" s="2"/>
      <c r="C11" s="5">
        <f>SUM(C8:C10)</f>
        <v>-788.3561643835616</v>
      </c>
    </row>
    <row r="12" spans="1:3" ht="21" customHeight="1">
      <c r="A12" s="443" t="s">
        <v>208</v>
      </c>
      <c r="B12" s="8"/>
      <c r="C12" s="5">
        <f>C11*HyperLink!B21</f>
        <v>-141.90410958904107</v>
      </c>
    </row>
    <row r="13" spans="1:3" ht="21" customHeight="1">
      <c r="A13" s="3" t="s">
        <v>37</v>
      </c>
      <c r="B13" s="2"/>
      <c r="C13" s="9">
        <f>SUM(C11:C12)</f>
        <v>-930.2602739726026</v>
      </c>
    </row>
    <row r="14" spans="1:3" ht="39" customHeight="1">
      <c r="A14" s="581" t="s">
        <v>38</v>
      </c>
      <c r="B14" s="581"/>
      <c r="C14" s="581"/>
    </row>
    <row r="15" spans="1:3" ht="27" customHeight="1">
      <c r="A15" s="582" t="s">
        <v>211</v>
      </c>
      <c r="B15" s="582"/>
      <c r="C15" s="582"/>
    </row>
  </sheetData>
  <sheetProtection password="CEED" sheet="1"/>
  <mergeCells count="6">
    <mergeCell ref="A1:C1"/>
    <mergeCell ref="A2:C2"/>
    <mergeCell ref="E2:F3"/>
    <mergeCell ref="A3:C3"/>
    <mergeCell ref="A14:C14"/>
    <mergeCell ref="A15:C15"/>
  </mergeCells>
  <dataValidations count="1">
    <dataValidation type="list" allowBlank="1" showErrorMessage="1" sqref="B10">
      <formula1>"Yes,No"</formula1>
      <formula2>0</formula2>
    </dataValidation>
  </dataValidations>
  <hyperlinks>
    <hyperlink ref="E2" location="HyperLink!A1" display="BACK"/>
  </hyperlink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8"/>
  <sheetViews>
    <sheetView zoomScale="90" zoomScaleNormal="90" zoomScalePageLayoutView="0" workbookViewId="0" topLeftCell="A1">
      <selection activeCell="E17" sqref="E17"/>
    </sheetView>
  </sheetViews>
  <sheetFormatPr defaultColWidth="9.140625" defaultRowHeight="12.75"/>
  <cols>
    <col min="1" max="1" width="27.7109375" style="10" customWidth="1"/>
    <col min="2" max="2" width="6.7109375" style="10" customWidth="1"/>
    <col min="3" max="16384" width="9.140625" style="10" customWidth="1"/>
  </cols>
  <sheetData>
    <row r="1" spans="1:3" ht="13.5">
      <c r="A1" s="11"/>
      <c r="B1" s="11"/>
      <c r="C1" s="11"/>
    </row>
    <row r="2" spans="1:3" ht="13.5">
      <c r="A2" s="12" t="s">
        <v>39</v>
      </c>
      <c r="B2" s="11"/>
      <c r="C2" s="11"/>
    </row>
    <row r="3" spans="1:3" ht="13.5">
      <c r="A3" s="11"/>
      <c r="B3" s="11"/>
      <c r="C3" s="11"/>
    </row>
    <row r="4" spans="1:3" ht="13.5">
      <c r="A4" s="11" t="s">
        <v>40</v>
      </c>
      <c r="B4" s="11" t="str">
        <f>+'PCCV 4W Up To 6 P'!G7</f>
        <v>B</v>
      </c>
      <c r="C4" s="11"/>
    </row>
    <row r="5" spans="1:3" ht="13.5">
      <c r="A5" s="11" t="s">
        <v>41</v>
      </c>
      <c r="B5" s="11">
        <f>+'PCCV 4W Up To 6 P'!G8</f>
        <v>1400</v>
      </c>
      <c r="C5" s="11"/>
    </row>
    <row r="6" spans="1:3" ht="13.5">
      <c r="A6" s="11" t="s">
        <v>42</v>
      </c>
      <c r="B6" s="11">
        <f ca="1">IF((YEAR(TODAY())-'PCCV 4W Up To 6 P'!G6+1)&lt;1,0,(YEAR(TODAY())-'PCCV 4W Up To 6 P'!G6+1))</f>
        <v>5</v>
      </c>
      <c r="C6" s="11"/>
    </row>
    <row r="7" spans="1:3" ht="13.5">
      <c r="A7" s="11" t="s">
        <v>43</v>
      </c>
      <c r="B7" s="11">
        <f>(IF(B4="A",IF(B5&lt;1001,1,IF(B5&lt;1501,3,5)),IF(B5&lt;1001,2,IF(B5&lt;1501,4,6)))+1)</f>
        <v>5</v>
      </c>
      <c r="C7" s="11"/>
    </row>
    <row r="8" spans="1:3" ht="13.5">
      <c r="A8" s="11" t="s">
        <v>44</v>
      </c>
      <c r="B8" s="11">
        <f>VLOOKUP(B6,PCCVT!A7:G9,PCCVCAL!B7)</f>
        <v>3.351</v>
      </c>
      <c r="C8" s="11"/>
    </row>
    <row r="9" spans="1:3" ht="13.5">
      <c r="A9" s="11"/>
      <c r="B9" s="11"/>
      <c r="C9" s="11"/>
    </row>
    <row r="10" spans="1:3" ht="13.5">
      <c r="A10" s="12" t="s">
        <v>45</v>
      </c>
      <c r="B10" s="11"/>
      <c r="C10" s="11"/>
    </row>
    <row r="11" spans="1:3" ht="13.5">
      <c r="A11" s="11" t="s">
        <v>46</v>
      </c>
      <c r="B11" s="11">
        <f>VLOOKUP(B6,PCCVT!A13:G15,PCCVCAL!B7)</f>
        <v>7147</v>
      </c>
      <c r="C11" s="11"/>
    </row>
    <row r="12" spans="1:3" ht="13.5">
      <c r="A12" s="11"/>
      <c r="B12" s="11"/>
      <c r="C12" s="11"/>
    </row>
    <row r="13" spans="1:3" ht="13.5">
      <c r="A13" s="11"/>
      <c r="B13" s="11"/>
      <c r="C13" s="11"/>
    </row>
    <row r="14" spans="1:3" ht="13.5">
      <c r="A14" s="11"/>
      <c r="B14" s="11"/>
      <c r="C14" s="11"/>
    </row>
    <row r="15" spans="1:3" ht="13.5">
      <c r="A15" s="11"/>
      <c r="B15" s="11"/>
      <c r="C15" s="11"/>
    </row>
    <row r="16" spans="1:3" ht="13.5">
      <c r="A16" s="11"/>
      <c r="B16" s="11"/>
      <c r="C16" s="11"/>
    </row>
    <row r="17" spans="1:3" ht="13.5">
      <c r="A17" s="11"/>
      <c r="B17" s="11"/>
      <c r="C17" s="11"/>
    </row>
    <row r="18" spans="1:3" ht="13.5">
      <c r="A18" s="11"/>
      <c r="B18" s="11"/>
      <c r="C18" s="11"/>
    </row>
  </sheetData>
  <sheetProtection password="CEED" sheet="1"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30"/>
  <sheetViews>
    <sheetView zoomScale="145" zoomScaleNormal="145" zoomScalePageLayoutView="0" workbookViewId="0" topLeftCell="A1">
      <selection activeCell="G3" sqref="G3"/>
    </sheetView>
  </sheetViews>
  <sheetFormatPr defaultColWidth="9.140625" defaultRowHeight="12.75"/>
  <cols>
    <col min="1" max="4" width="9.140625" style="53" customWidth="1"/>
    <col min="5" max="5" width="5.421875" style="53" customWidth="1"/>
    <col min="6" max="6" width="10.421875" style="53" customWidth="1"/>
    <col min="7" max="7" width="14.7109375" style="53" customWidth="1"/>
    <col min="8" max="16384" width="9.140625" style="53" customWidth="1"/>
  </cols>
  <sheetData>
    <row r="2" spans="1:7" ht="12.75">
      <c r="A2" s="753" t="s">
        <v>220</v>
      </c>
      <c r="B2" s="753"/>
      <c r="C2" s="753"/>
      <c r="D2" s="753"/>
      <c r="E2" s="753"/>
      <c r="F2" s="753"/>
      <c r="G2" s="753"/>
    </row>
    <row r="3" spans="1:7" ht="12.75">
      <c r="A3" s="20" t="s">
        <v>49</v>
      </c>
      <c r="B3" s="21"/>
      <c r="C3" s="21"/>
      <c r="D3" s="22"/>
      <c r="F3" s="24" t="s">
        <v>172</v>
      </c>
      <c r="G3" s="25">
        <v>50000</v>
      </c>
    </row>
    <row r="4" spans="1:7" ht="12.75">
      <c r="A4" s="27" t="s">
        <v>42</v>
      </c>
      <c r="B4" s="28" t="s">
        <v>173</v>
      </c>
      <c r="C4" s="28" t="s">
        <v>174</v>
      </c>
      <c r="D4" s="29" t="s">
        <v>175</v>
      </c>
      <c r="F4" s="31" t="s">
        <v>176</v>
      </c>
      <c r="G4" s="54">
        <f>'GCCV 3W Public'!G7</f>
        <v>450</v>
      </c>
    </row>
    <row r="5" spans="1:7" ht="12.75">
      <c r="A5" s="31">
        <v>0</v>
      </c>
      <c r="B5" s="55">
        <v>0.0164</v>
      </c>
      <c r="C5" s="55">
        <v>0.01656</v>
      </c>
      <c r="D5" s="56">
        <v>0.01664</v>
      </c>
      <c r="F5" s="31" t="s">
        <v>119</v>
      </c>
      <c r="G5" s="54">
        <f ca="1">YEAR(TODAY())-'GCCV 3W Public'!G6+1</f>
        <v>3</v>
      </c>
    </row>
    <row r="6" spans="1:7" ht="12.75">
      <c r="A6" s="57">
        <v>6</v>
      </c>
      <c r="B6" s="55">
        <v>0.01681</v>
      </c>
      <c r="C6" s="55">
        <v>0.01697</v>
      </c>
      <c r="D6" s="56">
        <v>0.01706</v>
      </c>
      <c r="F6" s="31" t="s">
        <v>178</v>
      </c>
      <c r="G6" s="54">
        <f>IF('GCCV 3W Public'!G8="c",2,IF('GCCV 3W Public'!G8="B",3,4))</f>
        <v>2</v>
      </c>
    </row>
    <row r="7" spans="1:7" ht="12.75">
      <c r="A7" s="31">
        <v>8</v>
      </c>
      <c r="B7" s="55">
        <v>0.01722</v>
      </c>
      <c r="C7" s="55">
        <v>0.01739</v>
      </c>
      <c r="D7" s="56">
        <v>0.01747</v>
      </c>
      <c r="F7" s="31" t="s">
        <v>179</v>
      </c>
      <c r="G7" s="38">
        <f>IF(G5&gt;A7,VLOOKUP(A7,A5:D7,G6),IF(G5&gt;A6,VLOOKUP(A6,A5:D7,G6),VLOOKUP(A5,A5:D7,G6)))</f>
        <v>0.0164</v>
      </c>
    </row>
    <row r="8" spans="1:7" ht="12.75">
      <c r="A8" s="31"/>
      <c r="B8" s="55"/>
      <c r="C8" s="55"/>
      <c r="D8" s="56"/>
      <c r="F8" s="31" t="s">
        <v>44</v>
      </c>
      <c r="G8" s="40">
        <f>G7*G3</f>
        <v>820.0000000000001</v>
      </c>
    </row>
    <row r="9" spans="1:7" ht="12.75">
      <c r="A9" s="41"/>
      <c r="B9" s="58"/>
      <c r="C9" s="58"/>
      <c r="D9" s="59"/>
      <c r="F9" s="41" t="s">
        <v>46</v>
      </c>
      <c r="G9" s="517">
        <v>4544</v>
      </c>
    </row>
    <row r="12" spans="1:7" ht="15">
      <c r="A12" s="754" t="s">
        <v>187</v>
      </c>
      <c r="B12" s="754"/>
      <c r="C12" s="754"/>
      <c r="D12" s="754"/>
      <c r="E12" s="754"/>
      <c r="F12" s="754"/>
      <c r="G12" s="754"/>
    </row>
    <row r="13" spans="1:7" ht="12.75">
      <c r="A13" s="20" t="s">
        <v>49</v>
      </c>
      <c r="B13" s="21"/>
      <c r="C13" s="21"/>
      <c r="D13" s="22"/>
      <c r="F13" s="24" t="s">
        <v>172</v>
      </c>
      <c r="G13" s="25">
        <f>SUM('PCCV 3W up to 6 P'!C6)</f>
        <v>110000</v>
      </c>
    </row>
    <row r="14" spans="1:7" ht="12.75">
      <c r="A14" s="27" t="s">
        <v>42</v>
      </c>
      <c r="B14" s="28" t="s">
        <v>173</v>
      </c>
      <c r="C14" s="28" t="s">
        <v>174</v>
      </c>
      <c r="D14" s="29" t="s">
        <v>175</v>
      </c>
      <c r="F14" s="31" t="s">
        <v>157</v>
      </c>
      <c r="G14" s="54">
        <f>SUM('PCCV 3W up to 6 P'!G7)</f>
        <v>6</v>
      </c>
    </row>
    <row r="15" spans="1:7" ht="12.75">
      <c r="A15" s="31">
        <v>0</v>
      </c>
      <c r="B15" s="55">
        <v>0.0126</v>
      </c>
      <c r="C15" s="55">
        <v>0.01272</v>
      </c>
      <c r="D15" s="56">
        <v>0.01278</v>
      </c>
      <c r="F15" s="31" t="s">
        <v>119</v>
      </c>
      <c r="G15" s="54">
        <f ca="1">YEAR(TODAY())-'PCCV 3W up to 6 P'!G6+1</f>
        <v>3</v>
      </c>
    </row>
    <row r="16" spans="1:7" ht="12.75">
      <c r="A16" s="57">
        <v>6</v>
      </c>
      <c r="B16" s="55">
        <v>0.01292</v>
      </c>
      <c r="C16" s="55">
        <v>0.01304</v>
      </c>
      <c r="D16" s="56">
        <v>0.0131</v>
      </c>
      <c r="F16" s="31" t="s">
        <v>178</v>
      </c>
      <c r="G16" s="54">
        <f>IF('PCCV 3W up to 6 P'!G8="c",2,IF('PCCV 3W up to 6 P'!G8="B",3,4))</f>
        <v>2</v>
      </c>
    </row>
    <row r="17" spans="1:7" ht="12.75">
      <c r="A17" s="31">
        <v>8</v>
      </c>
      <c r="B17" s="60">
        <v>0.01323</v>
      </c>
      <c r="C17" s="55">
        <v>0.01336</v>
      </c>
      <c r="D17" s="56">
        <v>0.01342</v>
      </c>
      <c r="F17" s="31" t="s">
        <v>179</v>
      </c>
      <c r="G17" s="38">
        <f>IF(G15&gt;A17,VLOOKUP(A17,A15:D17,G16),IF(G15&gt;A16,VLOOKUP(A16,A15:D17,G16),VLOOKUP(A15,A15:D17,G16)))</f>
        <v>0.0126</v>
      </c>
    </row>
    <row r="18" spans="1:7" ht="12.75">
      <c r="A18" s="31"/>
      <c r="B18" s="61"/>
      <c r="C18" s="61"/>
      <c r="D18" s="54"/>
      <c r="F18" s="31" t="s">
        <v>44</v>
      </c>
      <c r="G18" s="518">
        <f>G17*G13</f>
        <v>1386</v>
      </c>
    </row>
    <row r="19" spans="1:7" ht="12.75">
      <c r="A19" s="41"/>
      <c r="B19" s="58"/>
      <c r="C19" s="58"/>
      <c r="D19" s="59"/>
      <c r="F19" s="41" t="s">
        <v>46</v>
      </c>
      <c r="G19" s="519">
        <v>2595</v>
      </c>
    </row>
    <row r="23" spans="1:7" ht="15">
      <c r="A23" s="754" t="s">
        <v>188</v>
      </c>
      <c r="B23" s="754"/>
      <c r="C23" s="754"/>
      <c r="D23" s="754"/>
      <c r="E23" s="754"/>
      <c r="F23" s="754"/>
      <c r="G23" s="754"/>
    </row>
    <row r="24" spans="1:7" ht="12.75">
      <c r="A24" s="20" t="s">
        <v>49</v>
      </c>
      <c r="B24" s="21"/>
      <c r="C24" s="21"/>
      <c r="D24" s="22"/>
      <c r="F24" s="24" t="s">
        <v>172</v>
      </c>
      <c r="G24" s="25">
        <f>SUM('PCCV 3W 7 TO 17 P'!C6)</f>
        <v>500000</v>
      </c>
    </row>
    <row r="25" spans="1:7" ht="12.75">
      <c r="A25" s="27" t="s">
        <v>42</v>
      </c>
      <c r="B25" s="28" t="s">
        <v>173</v>
      </c>
      <c r="C25" s="28" t="s">
        <v>174</v>
      </c>
      <c r="D25" s="29" t="s">
        <v>175</v>
      </c>
      <c r="F25" s="31" t="s">
        <v>157</v>
      </c>
      <c r="G25" s="54">
        <f>SUM('PCCV 3W 7 TO 17 P'!G7)</f>
        <v>8</v>
      </c>
    </row>
    <row r="26" spans="1:7" ht="12.75">
      <c r="A26" s="31">
        <v>0</v>
      </c>
      <c r="B26" s="55">
        <v>0.01759</v>
      </c>
      <c r="C26" s="55">
        <v>0.01777</v>
      </c>
      <c r="D26" s="56">
        <v>0.01785</v>
      </c>
      <c r="F26" s="31" t="s">
        <v>119</v>
      </c>
      <c r="G26" s="54">
        <f ca="1">YEAR(TODAY())-'PCCV 3W 7 TO 17 P'!G6+1</f>
        <v>3</v>
      </c>
    </row>
    <row r="27" spans="1:7" ht="12.75">
      <c r="A27" s="57">
        <v>6</v>
      </c>
      <c r="B27" s="55">
        <v>0.01803</v>
      </c>
      <c r="C27" s="55">
        <v>0.01821</v>
      </c>
      <c r="D27" s="56">
        <v>0.0183</v>
      </c>
      <c r="F27" s="31" t="s">
        <v>178</v>
      </c>
      <c r="G27" s="54">
        <f>IF('PCCV 3W 7 TO 17 P'!G8="c",2,IF('PCCV 3W 7 TO 17 P'!G8="B",3,4))</f>
        <v>2</v>
      </c>
    </row>
    <row r="28" spans="1:7" ht="12.75">
      <c r="A28" s="31">
        <v>8</v>
      </c>
      <c r="B28" s="55">
        <v>0.01847</v>
      </c>
      <c r="C28" s="55">
        <v>0.01866</v>
      </c>
      <c r="D28" s="56">
        <v>0.01874</v>
      </c>
      <c r="F28" s="31" t="s">
        <v>179</v>
      </c>
      <c r="G28" s="38">
        <f>IF(G26&gt;A28,VLOOKUP(A28,A26:D28,G27),IF(G26&gt;A27,VLOOKUP(A27,A26:D28,G27),VLOOKUP(A26,A26:D28,G27)))</f>
        <v>0.01759</v>
      </c>
    </row>
    <row r="29" spans="1:7" ht="12.75">
      <c r="A29" s="31"/>
      <c r="B29" s="61"/>
      <c r="C29" s="61"/>
      <c r="D29" s="54"/>
      <c r="F29" s="31" t="s">
        <v>44</v>
      </c>
      <c r="G29" s="40">
        <f>G28*G24</f>
        <v>8795</v>
      </c>
    </row>
    <row r="30" spans="1:7" ht="12.75">
      <c r="A30" s="41"/>
      <c r="B30" s="58"/>
      <c r="C30" s="58"/>
      <c r="D30" s="59"/>
      <c r="F30" s="41" t="s">
        <v>46</v>
      </c>
      <c r="G30" s="519">
        <v>6222</v>
      </c>
    </row>
  </sheetData>
  <sheetProtection selectLockedCells="1" selectUnlockedCells="1"/>
  <mergeCells count="3">
    <mergeCell ref="A2:G2"/>
    <mergeCell ref="A12:G12"/>
    <mergeCell ref="A23:G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9"/>
  <sheetViews>
    <sheetView zoomScale="130" zoomScaleNormal="130" zoomScalePageLayoutView="0" workbookViewId="0" topLeftCell="A2">
      <selection activeCell="C14" sqref="C14"/>
    </sheetView>
  </sheetViews>
  <sheetFormatPr defaultColWidth="9.140625" defaultRowHeight="12.75"/>
  <cols>
    <col min="1" max="4" width="9.140625" style="53" customWidth="1"/>
    <col min="5" max="5" width="5.421875" style="53" customWidth="1"/>
    <col min="6" max="6" width="10.421875" style="53" customWidth="1"/>
    <col min="7" max="7" width="14.7109375" style="53" customWidth="1"/>
    <col min="8" max="16384" width="9.140625" style="53" customWidth="1"/>
  </cols>
  <sheetData>
    <row r="2" spans="1:7" ht="15.75" thickBot="1">
      <c r="A2" s="754" t="s">
        <v>193</v>
      </c>
      <c r="B2" s="754"/>
      <c r="C2" s="754"/>
      <c r="D2" s="754"/>
      <c r="E2" s="754"/>
      <c r="F2" s="754"/>
      <c r="G2" s="754"/>
    </row>
    <row r="3" spans="1:7" ht="12.75">
      <c r="A3" s="20" t="s">
        <v>49</v>
      </c>
      <c r="B3" s="21"/>
      <c r="C3" s="21"/>
      <c r="D3" s="22"/>
      <c r="F3" s="24" t="s">
        <v>172</v>
      </c>
      <c r="G3" s="25">
        <f>SUM('PCCV Maxi &amp; Bus'!C6)</f>
        <v>375000</v>
      </c>
    </row>
    <row r="4" spans="1:7" ht="12.75">
      <c r="A4" s="27" t="s">
        <v>42</v>
      </c>
      <c r="B4" s="28" t="s">
        <v>173</v>
      </c>
      <c r="C4" s="28" t="s">
        <v>174</v>
      </c>
      <c r="D4" s="29" t="s">
        <v>175</v>
      </c>
      <c r="F4" s="31" t="s">
        <v>157</v>
      </c>
      <c r="G4" s="54">
        <f>SUM('PCCV Maxi &amp; Bus'!G7)</f>
        <v>7</v>
      </c>
    </row>
    <row r="5" spans="1:7" ht="12.75">
      <c r="A5" s="31">
        <v>0</v>
      </c>
      <c r="B5" s="62">
        <v>0.01656</v>
      </c>
      <c r="C5" s="55">
        <v>0.01672</v>
      </c>
      <c r="D5" s="56">
        <v>0.0168</v>
      </c>
      <c r="F5" s="31" t="s">
        <v>119</v>
      </c>
      <c r="G5" s="54">
        <f ca="1">YEAR(TODAY())-'PCCV Maxi &amp; Bus'!G6+1</f>
        <v>11</v>
      </c>
    </row>
    <row r="6" spans="1:7" ht="12.75">
      <c r="A6" s="57">
        <v>6</v>
      </c>
      <c r="B6" s="62">
        <v>0.01697</v>
      </c>
      <c r="C6" s="55">
        <v>0.01714</v>
      </c>
      <c r="D6" s="56">
        <v>0.01722</v>
      </c>
      <c r="F6" s="31" t="s">
        <v>178</v>
      </c>
      <c r="G6" s="54">
        <f>IF('PCCV Maxi &amp; Bus'!G8="c",2,IF('PCCV Maxi &amp; Bus'!G8="B",3,4))</f>
        <v>2</v>
      </c>
    </row>
    <row r="7" spans="1:7" ht="12.75">
      <c r="A7" s="31">
        <v>8</v>
      </c>
      <c r="B7" s="62">
        <v>0.01739</v>
      </c>
      <c r="C7" s="55">
        <v>0.01756</v>
      </c>
      <c r="D7" s="56">
        <v>0.01764</v>
      </c>
      <c r="F7" s="31" t="s">
        <v>179</v>
      </c>
      <c r="G7" s="38">
        <f>IF(G5&gt;A7,VLOOKUP(A7,A5:D7,G6),IF(G5&gt;A6,VLOOKUP(A6,A5:D7,G6),VLOOKUP(A5,A5:D7,G6)))</f>
        <v>0.01739</v>
      </c>
    </row>
    <row r="8" spans="1:7" ht="12.75">
      <c r="A8" s="31"/>
      <c r="B8" s="61"/>
      <c r="C8" s="61"/>
      <c r="D8" s="54"/>
      <c r="F8" s="31" t="s">
        <v>44</v>
      </c>
      <c r="G8" s="40">
        <f>G7*G3</f>
        <v>6521.25</v>
      </c>
    </row>
    <row r="9" spans="1:7" ht="13.5" thickBot="1">
      <c r="A9" s="41"/>
      <c r="B9" s="58"/>
      <c r="C9" s="58"/>
      <c r="D9" s="59"/>
      <c r="F9" s="41" t="s">
        <v>46</v>
      </c>
      <c r="G9" s="516">
        <v>13176</v>
      </c>
    </row>
  </sheetData>
  <sheetProtection selectLockedCells="1" selectUnlockedCells="1"/>
  <mergeCells count="1">
    <mergeCell ref="A2:G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9"/>
  <sheetViews>
    <sheetView zoomScale="115" zoomScaleNormal="115" zoomScalePageLayoutView="0" workbookViewId="0" topLeftCell="A1">
      <selection activeCell="I18" sqref="I18"/>
    </sheetView>
  </sheetViews>
  <sheetFormatPr defaultColWidth="9.140625" defaultRowHeight="12.75"/>
  <cols>
    <col min="1" max="1" width="4.57421875" style="495" bestFit="1" customWidth="1"/>
    <col min="2" max="4" width="9.140625" style="53" customWidth="1"/>
    <col min="5" max="5" width="2.28125" style="53" customWidth="1"/>
    <col min="6" max="6" width="10.421875" style="53" customWidth="1"/>
    <col min="7" max="7" width="14.7109375" style="53" customWidth="1"/>
    <col min="8" max="16384" width="9.140625" style="53" customWidth="1"/>
  </cols>
  <sheetData>
    <row r="2" spans="1:7" ht="15.75" thickBot="1">
      <c r="A2" s="754" t="s">
        <v>219</v>
      </c>
      <c r="B2" s="754"/>
      <c r="C2" s="754"/>
      <c r="D2" s="754"/>
      <c r="E2" s="754"/>
      <c r="F2" s="754"/>
      <c r="G2" s="754"/>
    </row>
    <row r="3" spans="1:7" ht="12.75">
      <c r="A3" s="513" t="s">
        <v>49</v>
      </c>
      <c r="B3" s="21"/>
      <c r="C3" s="21"/>
      <c r="D3" s="22"/>
      <c r="F3" s="24" t="s">
        <v>172</v>
      </c>
      <c r="G3" s="25">
        <v>50000</v>
      </c>
    </row>
    <row r="4" spans="1:7" ht="12.75">
      <c r="A4" s="486" t="s">
        <v>42</v>
      </c>
      <c r="B4" s="28" t="s">
        <v>173</v>
      </c>
      <c r="C4" s="28" t="s">
        <v>174</v>
      </c>
      <c r="D4" s="29" t="s">
        <v>175</v>
      </c>
      <c r="F4" s="31" t="s">
        <v>176</v>
      </c>
      <c r="G4" s="54">
        <f>'GCCV 3W Private'!G16</f>
        <v>0</v>
      </c>
    </row>
    <row r="5" spans="1:7" ht="12.75">
      <c r="A5" s="485">
        <v>0</v>
      </c>
      <c r="B5" s="55">
        <v>0.01148</v>
      </c>
      <c r="C5" s="55">
        <v>0.011591999999999998</v>
      </c>
      <c r="D5" s="55">
        <v>0.01165</v>
      </c>
      <c r="F5" s="31" t="s">
        <v>119</v>
      </c>
      <c r="G5" s="54">
        <f ca="1">YEAR(TODAY())-'GCCV 3W Private'!G6+1</f>
        <v>3</v>
      </c>
    </row>
    <row r="6" spans="1:7" ht="12.75">
      <c r="A6" s="514">
        <v>6</v>
      </c>
      <c r="B6" s="55">
        <v>0.011766999999999998</v>
      </c>
      <c r="C6" s="55">
        <v>0.011878999999999999</v>
      </c>
      <c r="D6" s="55">
        <v>0.011941999999999998</v>
      </c>
      <c r="F6" s="31" t="s">
        <v>178</v>
      </c>
      <c r="G6" s="54">
        <f>IF('GCCV 3W Private'!G8="c",2,IF('GCCV 3W Private'!G8="B",3,4))</f>
        <v>2</v>
      </c>
    </row>
    <row r="7" spans="1:7" ht="12.75">
      <c r="A7" s="485">
        <v>8</v>
      </c>
      <c r="B7" s="55">
        <v>0.012053999999999999</v>
      </c>
      <c r="C7" s="55">
        <v>0.012172999999999998</v>
      </c>
      <c r="D7" s="55">
        <v>0.012228999999999999</v>
      </c>
      <c r="F7" s="31" t="s">
        <v>179</v>
      </c>
      <c r="G7" s="38">
        <f>IF(G5&gt;A7,VLOOKUP(A7,A5:D7,G6),IF(G5&gt;A6,VLOOKUP(A6,A5:D7,G6),VLOOKUP(A5,A5:D7,G6)))</f>
        <v>0.01148</v>
      </c>
    </row>
    <row r="8" spans="1:7" ht="12.75">
      <c r="A8" s="485"/>
      <c r="B8" s="61"/>
      <c r="C8" s="61"/>
      <c r="D8" s="54"/>
      <c r="F8" s="31" t="s">
        <v>44</v>
      </c>
      <c r="G8" s="40">
        <f>G7*G3</f>
        <v>574</v>
      </c>
    </row>
    <row r="9" spans="1:7" ht="13.5" thickBot="1">
      <c r="A9" s="515"/>
      <c r="B9" s="58"/>
      <c r="C9" s="58"/>
      <c r="D9" s="59"/>
      <c r="F9" s="41" t="s">
        <v>46</v>
      </c>
      <c r="G9" s="516">
        <v>3150</v>
      </c>
    </row>
  </sheetData>
  <sheetProtection selectLockedCells="1" selectUnlockedCells="1"/>
  <mergeCells count="1">
    <mergeCell ref="A2:G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zoomScale="118" zoomScaleNormal="118" zoomScalePageLayoutView="0" workbookViewId="0" topLeftCell="A2">
      <selection activeCell="A2" sqref="A2:G2"/>
    </sheetView>
  </sheetViews>
  <sheetFormatPr defaultColWidth="9.140625" defaultRowHeight="15.75" customHeight="1"/>
  <cols>
    <col min="1" max="1" width="29.7109375" style="98" bestFit="1" customWidth="1"/>
    <col min="2" max="2" width="6.8515625" style="128" customWidth="1"/>
    <col min="3" max="3" width="9.28125" style="98" customWidth="1"/>
    <col min="4" max="4" width="3.28125" style="98" customWidth="1"/>
    <col min="5" max="5" width="31.421875" style="98" bestFit="1" customWidth="1"/>
    <col min="6" max="6" width="9.140625" style="98" customWidth="1"/>
    <col min="7" max="7" width="10.28125" style="98" customWidth="1"/>
    <col min="8" max="8" width="7.28125" style="98" customWidth="1"/>
    <col min="9" max="9" width="8.57421875" style="98" customWidth="1"/>
    <col min="10" max="11" width="7.8515625" style="97" customWidth="1"/>
    <col min="12" max="12" width="24.421875" style="98" customWidth="1"/>
    <col min="13" max="13" width="5.421875" style="98" bestFit="1" customWidth="1"/>
    <col min="14" max="14" width="6.00390625" style="98" bestFit="1" customWidth="1"/>
    <col min="15" max="16384" width="9.140625" style="98" customWidth="1"/>
  </cols>
  <sheetData>
    <row r="1" spans="1:8" ht="18" customHeight="1">
      <c r="A1" s="583" t="s">
        <v>0</v>
      </c>
      <c r="B1" s="583"/>
      <c r="C1" s="583"/>
      <c r="D1" s="583"/>
      <c r="E1" s="583"/>
      <c r="F1" s="583"/>
      <c r="G1" s="583"/>
      <c r="H1" s="388"/>
    </row>
    <row r="2" spans="1:14" ht="15.75" customHeight="1">
      <c r="A2" s="584" t="s">
        <v>223</v>
      </c>
      <c r="B2" s="584"/>
      <c r="C2" s="584"/>
      <c r="D2" s="584"/>
      <c r="E2" s="584"/>
      <c r="F2" s="584"/>
      <c r="G2" s="584"/>
      <c r="H2" s="388"/>
      <c r="J2" s="590" t="s">
        <v>75</v>
      </c>
      <c r="K2" s="590"/>
      <c r="M2" s="128"/>
      <c r="N2" s="128"/>
    </row>
    <row r="3" spans="1:14" ht="15.75" customHeight="1">
      <c r="A3" s="521" t="s">
        <v>233</v>
      </c>
      <c r="B3" s="587"/>
      <c r="C3" s="588"/>
      <c r="D3" s="588"/>
      <c r="E3" s="588"/>
      <c r="F3" s="588"/>
      <c r="G3" s="589"/>
      <c r="H3" s="388"/>
      <c r="J3" s="590"/>
      <c r="K3" s="590"/>
      <c r="M3" s="389"/>
      <c r="N3" s="389"/>
    </row>
    <row r="4" spans="1:8" ht="15.75" customHeight="1">
      <c r="A4" s="521" t="s">
        <v>234</v>
      </c>
      <c r="B4" s="587"/>
      <c r="C4" s="588"/>
      <c r="D4" s="588"/>
      <c r="E4" s="588"/>
      <c r="F4" s="588"/>
      <c r="G4" s="589"/>
      <c r="H4" s="388"/>
    </row>
    <row r="5" spans="1:8" ht="15.75" customHeight="1">
      <c r="A5" s="591" t="s">
        <v>76</v>
      </c>
      <c r="B5" s="591"/>
      <c r="C5" s="591"/>
      <c r="D5" s="591"/>
      <c r="E5" s="591"/>
      <c r="F5" s="591"/>
      <c r="G5" s="591"/>
      <c r="H5" s="388"/>
    </row>
    <row r="6" spans="1:8" ht="15.75" customHeight="1">
      <c r="A6" s="585" t="s">
        <v>77</v>
      </c>
      <c r="B6" s="585"/>
      <c r="C6" s="180">
        <v>35866</v>
      </c>
      <c r="D6" s="592"/>
      <c r="E6" s="593" t="s">
        <v>40</v>
      </c>
      <c r="F6" s="593"/>
      <c r="G6" s="182" t="s">
        <v>51</v>
      </c>
      <c r="H6" s="390"/>
    </row>
    <row r="7" spans="1:8" ht="15.75" customHeight="1">
      <c r="A7" s="585" t="s">
        <v>78</v>
      </c>
      <c r="B7" s="585"/>
      <c r="C7" s="180">
        <v>0</v>
      </c>
      <c r="D7" s="592"/>
      <c r="E7" s="585" t="s">
        <v>41</v>
      </c>
      <c r="F7" s="585"/>
      <c r="G7" s="182">
        <v>100</v>
      </c>
      <c r="H7" s="391"/>
    </row>
    <row r="8" spans="1:8" ht="15.75" customHeight="1">
      <c r="A8" s="585" t="s">
        <v>79</v>
      </c>
      <c r="B8" s="585"/>
      <c r="C8" s="180">
        <v>0</v>
      </c>
      <c r="D8" s="592"/>
      <c r="E8" s="585" t="s">
        <v>80</v>
      </c>
      <c r="F8" s="585"/>
      <c r="G8" s="181">
        <v>2015</v>
      </c>
      <c r="H8" s="391"/>
    </row>
    <row r="9" spans="1:15" s="104" customFormat="1" ht="15.75" customHeight="1">
      <c r="A9" s="585" t="s">
        <v>81</v>
      </c>
      <c r="B9" s="585"/>
      <c r="C9" s="180">
        <v>0</v>
      </c>
      <c r="D9" s="592"/>
      <c r="E9" s="586"/>
      <c r="F9" s="586"/>
      <c r="G9" s="399"/>
      <c r="H9" s="391"/>
      <c r="J9" s="107"/>
      <c r="K9" s="392"/>
      <c r="O9" s="98"/>
    </row>
    <row r="10" spans="1:14" ht="15.75" customHeight="1">
      <c r="A10" s="599" t="s">
        <v>82</v>
      </c>
      <c r="B10" s="599"/>
      <c r="C10" s="599"/>
      <c r="D10" s="599"/>
      <c r="E10" s="599"/>
      <c r="F10" s="599"/>
      <c r="G10" s="599"/>
      <c r="H10" s="391"/>
      <c r="I10" s="104"/>
      <c r="J10" s="107"/>
      <c r="K10" s="392"/>
      <c r="L10" s="104"/>
      <c r="M10" s="104"/>
      <c r="N10" s="104"/>
    </row>
    <row r="11" spans="1:12" ht="15.75" customHeight="1">
      <c r="A11" s="595" t="s">
        <v>83</v>
      </c>
      <c r="B11" s="595"/>
      <c r="C11" s="595"/>
      <c r="D11" s="600"/>
      <c r="E11" s="595" t="s">
        <v>84</v>
      </c>
      <c r="F11" s="595"/>
      <c r="G11" s="595"/>
      <c r="H11" s="391"/>
      <c r="I11" s="104"/>
      <c r="J11" s="107"/>
      <c r="K11" s="392"/>
      <c r="L11" s="104"/>
    </row>
    <row r="12" spans="1:12" ht="15.75" customHeight="1">
      <c r="A12" s="153" t="s">
        <v>85</v>
      </c>
      <c r="B12" s="182"/>
      <c r="C12" s="162">
        <f>+C6*MCCAL!B8/100</f>
        <v>601.11416</v>
      </c>
      <c r="D12" s="600"/>
      <c r="E12" s="153" t="s">
        <v>86</v>
      </c>
      <c r="F12" s="183"/>
      <c r="G12" s="162">
        <f>MCCAL!B11</f>
        <v>720</v>
      </c>
      <c r="H12" s="391"/>
      <c r="I12" s="104"/>
      <c r="J12" s="107"/>
      <c r="K12" s="392"/>
      <c r="L12" s="104"/>
    </row>
    <row r="13" spans="1:12" ht="15.75" customHeight="1">
      <c r="A13" s="153" t="s">
        <v>87</v>
      </c>
      <c r="B13" s="182"/>
      <c r="C13" s="162">
        <f>IF(C7&gt;0,4%*C7,0)</f>
        <v>0</v>
      </c>
      <c r="D13" s="600"/>
      <c r="E13" s="153" t="s">
        <v>236</v>
      </c>
      <c r="F13" s="182" t="s">
        <v>88</v>
      </c>
      <c r="G13" s="162">
        <f>IF(F13="Yes",750,0)</f>
        <v>750</v>
      </c>
      <c r="H13" s="391"/>
      <c r="I13" s="104"/>
      <c r="J13" s="107"/>
      <c r="K13" s="392"/>
      <c r="L13" s="104"/>
    </row>
    <row r="14" spans="1:13" ht="15.75" customHeight="1">
      <c r="A14" s="153" t="s">
        <v>89</v>
      </c>
      <c r="B14" s="400"/>
      <c r="C14" s="162">
        <f>IF(C8&gt;0,4%*C8,0)</f>
        <v>0</v>
      </c>
      <c r="D14" s="600"/>
      <c r="E14" s="153" t="s">
        <v>90</v>
      </c>
      <c r="F14" s="401"/>
      <c r="G14" s="162">
        <f>IF(C8&gt;0,60,0)</f>
        <v>0</v>
      </c>
      <c r="H14" s="391"/>
      <c r="I14" s="104"/>
      <c r="J14" s="107"/>
      <c r="K14" s="392"/>
      <c r="L14" s="104"/>
      <c r="M14" s="106"/>
    </row>
    <row r="15" spans="1:13" ht="15.75" customHeight="1">
      <c r="A15" s="153" t="s">
        <v>81</v>
      </c>
      <c r="B15" s="400"/>
      <c r="C15" s="162">
        <f>IF(C9&gt;0,3%*C9,0)</f>
        <v>0</v>
      </c>
      <c r="D15" s="600"/>
      <c r="E15" s="153"/>
      <c r="F15" s="153"/>
      <c r="G15" s="153"/>
      <c r="H15" s="391"/>
      <c r="I15" s="104"/>
      <c r="J15" s="107"/>
      <c r="K15" s="392"/>
      <c r="L15" s="104"/>
      <c r="M15" s="106"/>
    </row>
    <row r="16" spans="1:13" ht="15.75" customHeight="1">
      <c r="A16" s="190" t="s">
        <v>92</v>
      </c>
      <c r="B16" s="402"/>
      <c r="C16" s="188">
        <f>SUM(C12+C13+C14+C15)</f>
        <v>601.11416</v>
      </c>
      <c r="D16" s="600"/>
      <c r="E16" s="190" t="s">
        <v>93</v>
      </c>
      <c r="F16" s="403"/>
      <c r="G16" s="188">
        <f>SUM(G12:G14)</f>
        <v>1470</v>
      </c>
      <c r="H16" s="391"/>
      <c r="I16" s="104"/>
      <c r="J16" s="107"/>
      <c r="K16" s="392"/>
      <c r="L16" s="104"/>
      <c r="M16" s="106"/>
    </row>
    <row r="17" spans="1:13" ht="15.75" customHeight="1">
      <c r="A17" s="153" t="s">
        <v>94</v>
      </c>
      <c r="B17" s="185">
        <v>0</v>
      </c>
      <c r="C17" s="162">
        <f>C16*B17</f>
        <v>0</v>
      </c>
      <c r="D17" s="600"/>
      <c r="E17" s="153" t="s">
        <v>191</v>
      </c>
      <c r="F17" s="182" t="s">
        <v>88</v>
      </c>
      <c r="G17" s="162">
        <f>IF(F17="Yes",0.7*F18*G18/1000,0)</f>
        <v>0</v>
      </c>
      <c r="H17" s="391"/>
      <c r="I17" s="104"/>
      <c r="J17" s="107"/>
      <c r="K17" s="392"/>
      <c r="L17" s="104"/>
      <c r="M17" s="106"/>
    </row>
    <row r="18" spans="1:12" ht="15.75" customHeight="1">
      <c r="A18" s="153" t="s">
        <v>189</v>
      </c>
      <c r="B18" s="404" t="s">
        <v>35</v>
      </c>
      <c r="C18" s="162">
        <f>C6*A48/10</f>
        <v>0</v>
      </c>
      <c r="D18" s="600"/>
      <c r="E18" s="153" t="str">
        <f>IF(F17="Yes","No of Seats/PA Limit","")</f>
        <v>No of Seats/PA Limit</v>
      </c>
      <c r="F18" s="183">
        <v>0</v>
      </c>
      <c r="G18" s="405">
        <v>50000</v>
      </c>
      <c r="H18" s="391"/>
      <c r="I18" s="104"/>
      <c r="J18" s="107"/>
      <c r="K18" s="392"/>
      <c r="L18" s="104"/>
    </row>
    <row r="19" spans="1:13" ht="15.75" customHeight="1">
      <c r="A19" s="153" t="s">
        <v>96</v>
      </c>
      <c r="B19" s="182" t="s">
        <v>35</v>
      </c>
      <c r="C19" s="162">
        <f>IF(B19="Yes",500,0)</f>
        <v>0</v>
      </c>
      <c r="D19" s="600"/>
      <c r="E19" s="153"/>
      <c r="F19" s="183"/>
      <c r="G19" s="405"/>
      <c r="H19" s="391"/>
      <c r="I19" s="104"/>
      <c r="J19" s="107"/>
      <c r="K19" s="392"/>
      <c r="L19" s="104"/>
      <c r="M19" s="106"/>
    </row>
    <row r="20" spans="1:14" ht="15.75" customHeight="1">
      <c r="A20" s="153" t="s">
        <v>97</v>
      </c>
      <c r="B20" s="182">
        <v>0</v>
      </c>
      <c r="C20" s="162">
        <f>IF(B20&gt;0,20+(10*(B20-1)),0)</f>
        <v>0</v>
      </c>
      <c r="D20" s="600"/>
      <c r="E20" s="153" t="s">
        <v>98</v>
      </c>
      <c r="F20" s="183"/>
      <c r="G20" s="162">
        <f>IF(B20&gt;0,15+(10*(B20-1)),0)</f>
        <v>0</v>
      </c>
      <c r="H20" s="391"/>
      <c r="I20" s="104"/>
      <c r="J20" s="107"/>
      <c r="K20" s="392"/>
      <c r="L20" s="104"/>
      <c r="M20" s="107"/>
      <c r="N20" s="104"/>
    </row>
    <row r="21" spans="1:12" ht="15.75" customHeight="1">
      <c r="A21" s="153" t="s">
        <v>99</v>
      </c>
      <c r="B21" s="182" t="s">
        <v>35</v>
      </c>
      <c r="C21" s="162">
        <f>IF(B21="Yes",50,0)</f>
        <v>0</v>
      </c>
      <c r="D21" s="600"/>
      <c r="E21" s="153"/>
      <c r="F21" s="183"/>
      <c r="G21" s="162"/>
      <c r="H21" s="391"/>
      <c r="I21" s="104"/>
      <c r="J21" s="107"/>
      <c r="K21" s="392"/>
      <c r="L21" s="104"/>
    </row>
    <row r="22" spans="1:12" ht="15.75" customHeight="1">
      <c r="A22" s="190" t="s">
        <v>101</v>
      </c>
      <c r="B22" s="402"/>
      <c r="C22" s="188">
        <f>SUM(C16:C21)</f>
        <v>601.11416</v>
      </c>
      <c r="D22" s="600"/>
      <c r="E22" s="190" t="s">
        <v>102</v>
      </c>
      <c r="F22" s="189"/>
      <c r="G22" s="188">
        <f>G16+G17</f>
        <v>1470</v>
      </c>
      <c r="H22" s="391"/>
      <c r="I22" s="104"/>
      <c r="J22" s="107"/>
      <c r="K22" s="392"/>
      <c r="L22" s="104"/>
    </row>
    <row r="23" spans="1:13" ht="15.75" customHeight="1">
      <c r="A23" s="153" t="s">
        <v>100</v>
      </c>
      <c r="B23" s="182" t="s">
        <v>35</v>
      </c>
      <c r="C23" s="162">
        <f>IF(B23="Yes",MIN(500,2.5%*C16),0)</f>
        <v>0</v>
      </c>
      <c r="D23" s="600"/>
      <c r="E23" s="153" t="s">
        <v>103</v>
      </c>
      <c r="F23" s="406">
        <v>100000</v>
      </c>
      <c r="G23" s="162">
        <f>IF(F23=100000,0,50)</f>
        <v>0</v>
      </c>
      <c r="H23" s="391"/>
      <c r="I23" s="104"/>
      <c r="J23" s="107"/>
      <c r="K23" s="392"/>
      <c r="L23" s="104"/>
      <c r="M23" s="106"/>
    </row>
    <row r="24" spans="1:13" ht="15.75" customHeight="1">
      <c r="A24" s="153" t="s">
        <v>69</v>
      </c>
      <c r="B24" s="182" t="s">
        <v>35</v>
      </c>
      <c r="C24" s="162">
        <f>IF(B24="Yes",50%*C16,0)</f>
        <v>0</v>
      </c>
      <c r="D24" s="600"/>
      <c r="E24" s="153"/>
      <c r="F24" s="183"/>
      <c r="G24" s="162"/>
      <c r="H24" s="391"/>
      <c r="I24" s="104"/>
      <c r="J24" s="107"/>
      <c r="K24" s="392"/>
      <c r="L24" s="104"/>
      <c r="M24" s="106"/>
    </row>
    <row r="25" spans="1:13" ht="15.75" customHeight="1">
      <c r="A25" s="153" t="s">
        <v>62</v>
      </c>
      <c r="B25" s="182" t="s">
        <v>35</v>
      </c>
      <c r="C25" s="162">
        <f>IF(B25="Yes",MIN(50,5%*C16),0)</f>
        <v>0</v>
      </c>
      <c r="D25" s="600"/>
      <c r="E25" s="153"/>
      <c r="F25" s="153"/>
      <c r="G25" s="153"/>
      <c r="H25" s="391"/>
      <c r="I25" s="104"/>
      <c r="J25" s="107"/>
      <c r="K25" s="392"/>
      <c r="L25" s="104"/>
      <c r="M25" s="106"/>
    </row>
    <row r="26" spans="1:13" ht="15.75" customHeight="1">
      <c r="A26" s="153" t="s">
        <v>190</v>
      </c>
      <c r="B26" s="182" t="s">
        <v>35</v>
      </c>
      <c r="C26" s="162">
        <f>IF(B26="Yes",33.33%*C16,0)</f>
        <v>0</v>
      </c>
      <c r="D26" s="600"/>
      <c r="E26" s="153"/>
      <c r="F26" s="153"/>
      <c r="G26" s="153"/>
      <c r="H26" s="391"/>
      <c r="L26" s="97"/>
      <c r="M26" s="106"/>
    </row>
    <row r="27" spans="1:13" ht="15.75" customHeight="1">
      <c r="A27" s="153" t="s">
        <v>104</v>
      </c>
      <c r="B27" s="407">
        <v>0</v>
      </c>
      <c r="C27" s="162">
        <f>VLOOKUP(B27,MCT!H22:I27,2)</f>
        <v>0</v>
      </c>
      <c r="D27" s="600"/>
      <c r="E27" s="153"/>
      <c r="F27" s="183"/>
      <c r="G27" s="162"/>
      <c r="H27" s="391"/>
      <c r="K27" s="392"/>
      <c r="L27" s="97"/>
      <c r="M27" s="106"/>
    </row>
    <row r="28" spans="1:13" ht="15.75" customHeight="1">
      <c r="A28" s="408" t="s">
        <v>105</v>
      </c>
      <c r="B28" s="182"/>
      <c r="C28" s="162">
        <f>C22-SUM(C23:C27)</f>
        <v>601.11416</v>
      </c>
      <c r="D28" s="600"/>
      <c r="E28" s="408" t="s">
        <v>106</v>
      </c>
      <c r="F28" s="183"/>
      <c r="G28" s="162"/>
      <c r="H28" s="391"/>
      <c r="K28" s="392"/>
      <c r="L28" s="97"/>
      <c r="M28" s="393"/>
    </row>
    <row r="29" spans="1:13" ht="15.75" customHeight="1">
      <c r="A29" s="153" t="s">
        <v>107</v>
      </c>
      <c r="B29" s="409">
        <v>0</v>
      </c>
      <c r="C29" s="162">
        <f>(C28-C30-C31)*B29</f>
        <v>0</v>
      </c>
      <c r="D29" s="600"/>
      <c r="E29" s="153"/>
      <c r="F29" s="192"/>
      <c r="G29" s="162"/>
      <c r="H29" s="391"/>
      <c r="K29" s="392"/>
      <c r="L29" s="97"/>
      <c r="M29" s="393"/>
    </row>
    <row r="30" spans="1:12" ht="15.75" customHeight="1">
      <c r="A30" s="153" t="s">
        <v>108</v>
      </c>
      <c r="B30" s="185">
        <v>0.6</v>
      </c>
      <c r="C30" s="177">
        <f>C16*B30</f>
        <v>360.66849599999995</v>
      </c>
      <c r="D30" s="600"/>
      <c r="E30" s="153"/>
      <c r="F30" s="192"/>
      <c r="G30" s="162"/>
      <c r="H30" s="391"/>
      <c r="K30" s="392"/>
      <c r="L30" s="97"/>
    </row>
    <row r="31" spans="1:12" ht="15.75" customHeight="1">
      <c r="A31" s="153" t="s">
        <v>197</v>
      </c>
      <c r="B31" s="185">
        <v>0</v>
      </c>
      <c r="C31" s="177">
        <f>C17*B31</f>
        <v>0</v>
      </c>
      <c r="D31" s="600"/>
      <c r="E31" s="153"/>
      <c r="F31" s="192"/>
      <c r="G31" s="162"/>
      <c r="H31" s="391"/>
      <c r="K31" s="392"/>
      <c r="L31" s="97"/>
    </row>
    <row r="32" spans="1:12" ht="15.75" customHeight="1">
      <c r="A32" s="190" t="s">
        <v>109</v>
      </c>
      <c r="B32" s="402"/>
      <c r="C32" s="184">
        <f>C28-(C29+C30+C31)</f>
        <v>240.44566400000002</v>
      </c>
      <c r="D32" s="600"/>
      <c r="E32" s="190" t="s">
        <v>110</v>
      </c>
      <c r="F32" s="189"/>
      <c r="G32" s="184">
        <f>G22-G23</f>
        <v>1470</v>
      </c>
      <c r="H32" s="391"/>
      <c r="K32" s="392"/>
      <c r="L32" s="392"/>
    </row>
    <row r="33" spans="1:11" ht="15.75" customHeight="1">
      <c r="A33" s="97"/>
      <c r="B33" s="394"/>
      <c r="C33" s="395"/>
      <c r="D33" s="395"/>
      <c r="E33" s="97"/>
      <c r="F33" s="97"/>
      <c r="G33" s="391"/>
      <c r="H33" s="396"/>
      <c r="I33" s="124"/>
      <c r="K33" s="392"/>
    </row>
    <row r="34" spans="1:11" ht="15.75" customHeight="1">
      <c r="A34" s="598" t="s">
        <v>198</v>
      </c>
      <c r="B34" s="433"/>
      <c r="C34" s="400"/>
      <c r="D34" s="400"/>
      <c r="E34" s="410" t="s">
        <v>111</v>
      </c>
      <c r="F34" s="174" t="s">
        <v>112</v>
      </c>
      <c r="G34" s="175" t="s">
        <v>36</v>
      </c>
      <c r="H34" s="397"/>
      <c r="K34" s="392"/>
    </row>
    <row r="35" spans="1:11" ht="15.75" customHeight="1">
      <c r="A35" s="598"/>
      <c r="B35" s="594" t="s">
        <v>113</v>
      </c>
      <c r="C35" s="595"/>
      <c r="D35" s="595"/>
      <c r="E35" s="176">
        <f>C32</f>
        <v>240.44566400000002</v>
      </c>
      <c r="F35" s="162">
        <f>G32</f>
        <v>1470</v>
      </c>
      <c r="G35" s="177">
        <f>SUM(E35:F35)</f>
        <v>1710.445664</v>
      </c>
      <c r="H35" s="397"/>
      <c r="K35" s="392"/>
    </row>
    <row r="36" spans="1:11" ht="15.75" customHeight="1">
      <c r="A36" s="598"/>
      <c r="B36" s="594" t="s">
        <v>207</v>
      </c>
      <c r="C36" s="595"/>
      <c r="D36" s="595"/>
      <c r="E36" s="176">
        <f>E35*HyperLink!B21</f>
        <v>43.28021952</v>
      </c>
      <c r="F36" s="176">
        <f>F35*HyperLink!B21</f>
        <v>264.59999999999997</v>
      </c>
      <c r="G36" s="176">
        <f>G35*HyperLink!B21</f>
        <v>307.88021952</v>
      </c>
      <c r="H36" s="398"/>
      <c r="K36" s="392"/>
    </row>
    <row r="37" spans="1:7" ht="15.75" customHeight="1">
      <c r="A37" s="598"/>
      <c r="B37" s="596" t="s">
        <v>37</v>
      </c>
      <c r="C37" s="597"/>
      <c r="D37" s="597"/>
      <c r="E37" s="411">
        <f>SUM(E35:E36)</f>
        <v>283.72588352</v>
      </c>
      <c r="F37" s="412">
        <f>SUM(F35:F36)</f>
        <v>1734.6</v>
      </c>
      <c r="G37" s="413">
        <f>SUM(G35:G36)</f>
        <v>2018.3258835200002</v>
      </c>
    </row>
    <row r="38" spans="5:7" ht="15.75" customHeight="1">
      <c r="E38" s="398"/>
      <c r="F38" s="398"/>
      <c r="G38" s="398"/>
    </row>
    <row r="45" ht="15.75" customHeight="1" hidden="1"/>
    <row r="46" ht="15.75" customHeight="1" hidden="1"/>
    <row r="47" spans="1:2" ht="15.75" customHeight="1">
      <c r="A47" s="91" t="s">
        <v>54</v>
      </c>
      <c r="B47" s="91" t="s">
        <v>119</v>
      </c>
    </row>
    <row r="48" spans="1:2" ht="15.75" customHeight="1">
      <c r="A48" s="91" t="b">
        <f>IF(B18="Yes",IF(B48=0,3%,IF(B48=1,4%,IF(B48=2,6%,0))))</f>
        <v>0</v>
      </c>
      <c r="B48" s="93">
        <f ca="1">YEAR(TODAY())-(G8)</f>
        <v>3</v>
      </c>
    </row>
  </sheetData>
  <sheetProtection password="CEED" sheet="1"/>
  <mergeCells count="23">
    <mergeCell ref="B36:D36"/>
    <mergeCell ref="B37:D37"/>
    <mergeCell ref="A34:A37"/>
    <mergeCell ref="A10:G10"/>
    <mergeCell ref="E11:G11"/>
    <mergeCell ref="D11:D32"/>
    <mergeCell ref="A11:C11"/>
    <mergeCell ref="J2:K3"/>
    <mergeCell ref="A5:G5"/>
    <mergeCell ref="A6:B6"/>
    <mergeCell ref="D6:D9"/>
    <mergeCell ref="E6:F6"/>
    <mergeCell ref="B35:D35"/>
    <mergeCell ref="A1:G1"/>
    <mergeCell ref="A2:G2"/>
    <mergeCell ref="A7:B7"/>
    <mergeCell ref="E7:F7"/>
    <mergeCell ref="E9:F9"/>
    <mergeCell ref="A8:B8"/>
    <mergeCell ref="E8:F8"/>
    <mergeCell ref="A9:B9"/>
    <mergeCell ref="B3:G3"/>
    <mergeCell ref="B4:G4"/>
  </mergeCells>
  <dataValidations count="9">
    <dataValidation type="list" allowBlank="1" showErrorMessage="1" sqref="B8 B23:B26 B21 B18:B19 F17 F13">
      <formula1>"Yes,No"</formula1>
      <formula2>0</formula2>
    </dataValidation>
    <dataValidation type="list" allowBlank="1" showErrorMessage="1" sqref="B27">
      <formula1>"0,500,750,1000,1500,3000"</formula1>
      <formula2>0</formula2>
    </dataValidation>
    <dataValidation type="list" allowBlank="1" showErrorMessage="1" sqref="B29">
      <formula1>"0%,20%,25%,35%,45%,50%,"</formula1>
      <formula2>0</formula2>
    </dataValidation>
    <dataValidation type="list" allowBlank="1" showErrorMessage="1" sqref="B17">
      <formula1>"0,15%,25%,35%,"</formula1>
    </dataValidation>
    <dataValidation type="list" allowBlank="1" showErrorMessage="1" sqref="F23">
      <formula1>"6000,100000"</formula1>
      <formula2>0</formula2>
    </dataValidation>
    <dataValidation type="list" allowBlank="1" showErrorMessage="1" sqref="G18:G19">
      <formula1>"10000,20000,30000,40000,50000,60000,70000,80000,90000,100000,110000,120000,130000,140000,150000,160000,170000,180000,190000,200000"</formula1>
      <formula2>0</formula2>
    </dataValidation>
    <dataValidation type="list" allowBlank="1" showErrorMessage="1" sqref="F29:F31">
      <formula1>"0%,5%,15%"</formula1>
      <formula2>0</formula2>
    </dataValidation>
    <dataValidation type="list" allowBlank="1" showErrorMessage="1" sqref="G6">
      <formula1>"A,B"</formula1>
      <formula2>0</formula2>
    </dataValidation>
    <dataValidation allowBlank="1" showErrorMessage="1" sqref="B30:B31">
      <formula1>0</formula1>
      <formula2>0</formula2>
    </dataValidation>
  </dataValidations>
  <hyperlinks>
    <hyperlink ref="J2" location="HyperLink!A1" display="BACK TO HYPERLINK"/>
  </hyperlinks>
  <printOptions/>
  <pageMargins left="0.31527777777777777" right="0" top="0.9451388888888889" bottom="0.7479166666666667" header="0.5118055555555555" footer="0.511805555555555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5"/>
  <sheetViews>
    <sheetView zoomScale="90" zoomScaleNormal="90" zoomScalePageLayoutView="0" workbookViewId="0" topLeftCell="A1">
      <selection activeCell="B11" sqref="B11"/>
    </sheetView>
  </sheetViews>
  <sheetFormatPr defaultColWidth="9.140625" defaultRowHeight="12.75"/>
  <cols>
    <col min="1" max="1" width="35.00390625" style="449" bestFit="1" customWidth="1"/>
    <col min="2" max="2" width="6.7109375" style="449" customWidth="1"/>
    <col min="3" max="16384" width="9.140625" style="449" customWidth="1"/>
  </cols>
  <sheetData>
    <row r="1" spans="1:3" ht="15.75">
      <c r="A1" s="448"/>
      <c r="B1" s="448"/>
      <c r="C1" s="448"/>
    </row>
    <row r="2" spans="1:3" ht="16.5">
      <c r="A2" s="601" t="s">
        <v>39</v>
      </c>
      <c r="B2" s="601"/>
      <c r="C2" s="448"/>
    </row>
    <row r="3" spans="1:3" ht="15.75">
      <c r="A3" s="448"/>
      <c r="B3" s="448"/>
      <c r="C3" s="448"/>
    </row>
    <row r="4" spans="1:3" ht="15.75">
      <c r="A4" s="502" t="s">
        <v>40</v>
      </c>
      <c r="B4" s="502" t="str">
        <f>+'2 Wheeler'!G6</f>
        <v>B</v>
      </c>
      <c r="C4" s="448"/>
    </row>
    <row r="5" spans="1:3" ht="15.75">
      <c r="A5" s="502" t="s">
        <v>41</v>
      </c>
      <c r="B5" s="451">
        <f>+'2 Wheeler'!G7</f>
        <v>100</v>
      </c>
      <c r="C5" s="448"/>
    </row>
    <row r="6" spans="1:3" ht="15.75">
      <c r="A6" s="502" t="s">
        <v>42</v>
      </c>
      <c r="B6" s="451">
        <f ca="1">YEAR(TODAY())-'2 Wheeler'!G8+1</f>
        <v>4</v>
      </c>
      <c r="C6" s="448"/>
    </row>
    <row r="7" spans="1:3" ht="15.75">
      <c r="A7" s="502" t="s">
        <v>43</v>
      </c>
      <c r="B7" s="451">
        <f>(IF(B4="A",IF(B5&lt;76,1,IF(B5&lt;151,3,IF(B5&lt;351,5,7))),IF(B5&lt;76,2,IF(B5&lt;151,4,IF(B5&lt;351,6,8))))+1)</f>
        <v>5</v>
      </c>
      <c r="C7" s="448"/>
    </row>
    <row r="8" spans="1:3" ht="15.75">
      <c r="A8" s="502" t="s">
        <v>44</v>
      </c>
      <c r="B8" s="451">
        <f>VLOOKUP(B6,MCT!A7:I9,MCCAL!B7)</f>
        <v>1.676</v>
      </c>
      <c r="C8" s="448"/>
    </row>
    <row r="9" spans="1:3" ht="15.75">
      <c r="A9" s="448"/>
      <c r="B9" s="448"/>
      <c r="C9" s="448"/>
    </row>
    <row r="10" spans="1:3" ht="16.5">
      <c r="A10" s="501" t="s">
        <v>45</v>
      </c>
      <c r="B10" s="448"/>
      <c r="C10" s="448"/>
    </row>
    <row r="11" spans="1:3" ht="15.75">
      <c r="A11" s="448" t="s">
        <v>46</v>
      </c>
      <c r="B11" s="448">
        <f>VLOOKUP(B6,MCT!A13:I15,MCCAL!B7)</f>
        <v>720</v>
      </c>
      <c r="C11" s="448"/>
    </row>
    <row r="12" spans="1:3" ht="15.75">
      <c r="A12" s="448"/>
      <c r="B12" s="448"/>
      <c r="C12" s="448"/>
    </row>
    <row r="13" spans="1:3" ht="15.75">
      <c r="A13" s="448"/>
      <c r="B13" s="448"/>
      <c r="C13" s="448"/>
    </row>
    <row r="14" spans="1:3" ht="15.75">
      <c r="A14" s="448"/>
      <c r="B14" s="448"/>
      <c r="C14" s="448"/>
    </row>
    <row r="15" spans="1:3" ht="15.75">
      <c r="A15" s="448"/>
      <c r="B15" s="448"/>
      <c r="C15" s="448"/>
    </row>
    <row r="16" spans="1:3" ht="16.5">
      <c r="A16" s="501"/>
      <c r="B16" s="448"/>
      <c r="C16" s="448"/>
    </row>
    <row r="17" spans="1:3" ht="15.75">
      <c r="A17" s="448"/>
      <c r="B17" s="448"/>
      <c r="C17" s="448"/>
    </row>
    <row r="18" spans="1:3" ht="15.75">
      <c r="A18" s="448"/>
      <c r="B18" s="448"/>
      <c r="C18" s="448"/>
    </row>
    <row r="19" spans="1:3" ht="15.75">
      <c r="A19" s="448"/>
      <c r="B19" s="448"/>
      <c r="C19" s="448"/>
    </row>
    <row r="20" spans="1:3" ht="15.75">
      <c r="A20" s="448"/>
      <c r="C20" s="448"/>
    </row>
    <row r="21" spans="1:3" ht="15.75">
      <c r="A21" s="448"/>
      <c r="B21" s="448"/>
      <c r="C21" s="448"/>
    </row>
    <row r="22" spans="1:3" ht="15.75">
      <c r="A22" s="448"/>
      <c r="B22" s="448"/>
      <c r="C22" s="448"/>
    </row>
    <row r="23" spans="1:3" ht="15.75">
      <c r="A23" s="448"/>
      <c r="B23" s="448"/>
      <c r="C23" s="448"/>
    </row>
    <row r="24" spans="1:3" ht="16.5">
      <c r="A24" s="501"/>
      <c r="B24" s="448"/>
      <c r="C24" s="448"/>
    </row>
    <row r="25" spans="1:3" ht="15.75">
      <c r="A25" s="448"/>
      <c r="B25" s="448"/>
      <c r="C25" s="448"/>
    </row>
  </sheetData>
  <sheetProtection selectLockedCells="1" selectUnlockedCells="1"/>
  <mergeCells count="1">
    <mergeCell ref="A2:B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41"/>
  <sheetViews>
    <sheetView zoomScale="130" zoomScaleNormal="130" zoomScalePageLayoutView="0" workbookViewId="0" topLeftCell="A13">
      <selection activeCell="I17" sqref="I17"/>
    </sheetView>
  </sheetViews>
  <sheetFormatPr defaultColWidth="9.140625" defaultRowHeight="12.75"/>
  <cols>
    <col min="1" max="1" width="8.8515625" style="495" customWidth="1"/>
    <col min="2" max="9" width="8.8515625" style="53" customWidth="1"/>
    <col min="10" max="16384" width="9.140625" style="53" customWidth="1"/>
  </cols>
  <sheetData>
    <row r="3" ht="12.75">
      <c r="B3" s="53" t="s">
        <v>47</v>
      </c>
    </row>
    <row r="4" spans="1:9" ht="12.75">
      <c r="A4" s="498" t="s">
        <v>48</v>
      </c>
      <c r="B4" s="606" t="s">
        <v>49</v>
      </c>
      <c r="C4" s="606"/>
      <c r="D4" s="606"/>
      <c r="E4" s="606"/>
      <c r="F4" s="606"/>
      <c r="G4" s="606"/>
      <c r="H4" s="606"/>
      <c r="I4" s="606"/>
    </row>
    <row r="5" spans="1:9" ht="12.75">
      <c r="A5" s="485"/>
      <c r="B5" s="607">
        <v>75</v>
      </c>
      <c r="C5" s="607"/>
      <c r="D5" s="608">
        <v>150</v>
      </c>
      <c r="E5" s="608"/>
      <c r="F5" s="602">
        <v>350</v>
      </c>
      <c r="G5" s="603"/>
      <c r="H5" s="609">
        <v>9999</v>
      </c>
      <c r="I5" s="609"/>
    </row>
    <row r="6" spans="1:9" s="483" customFormat="1" ht="12.75">
      <c r="A6" s="486"/>
      <c r="B6" s="484" t="s">
        <v>50</v>
      </c>
      <c r="C6" s="484" t="s">
        <v>51</v>
      </c>
      <c r="D6" s="484" t="s">
        <v>50</v>
      </c>
      <c r="E6" s="484" t="s">
        <v>51</v>
      </c>
      <c r="F6" s="484" t="s">
        <v>50</v>
      </c>
      <c r="G6" s="484" t="s">
        <v>51</v>
      </c>
      <c r="H6" s="484" t="s">
        <v>50</v>
      </c>
      <c r="I6" s="487" t="s">
        <v>51</v>
      </c>
    </row>
    <row r="7" spans="1:9" ht="12.75">
      <c r="A7" s="485">
        <v>0</v>
      </c>
      <c r="B7" s="488">
        <v>1.708</v>
      </c>
      <c r="C7" s="488">
        <v>1.676</v>
      </c>
      <c r="D7" s="488">
        <v>1.708</v>
      </c>
      <c r="E7" s="488">
        <v>1.676</v>
      </c>
      <c r="F7" s="488">
        <v>1.793</v>
      </c>
      <c r="G7" s="488">
        <v>1.76</v>
      </c>
      <c r="H7" s="488">
        <v>1.879</v>
      </c>
      <c r="I7" s="489">
        <v>1.844</v>
      </c>
    </row>
    <row r="8" spans="1:9" ht="12.75">
      <c r="A8" s="485">
        <v>6</v>
      </c>
      <c r="B8" s="488">
        <v>1.793</v>
      </c>
      <c r="C8" s="488">
        <v>1.76</v>
      </c>
      <c r="D8" s="488">
        <v>1.793</v>
      </c>
      <c r="E8" s="488">
        <v>1.76</v>
      </c>
      <c r="F8" s="488">
        <v>1.883</v>
      </c>
      <c r="G8" s="488">
        <v>1.848</v>
      </c>
      <c r="H8" s="488">
        <v>1.973</v>
      </c>
      <c r="I8" s="489">
        <v>1.936</v>
      </c>
    </row>
    <row r="9" spans="1:9" ht="12.75">
      <c r="A9" s="485">
        <v>11</v>
      </c>
      <c r="B9" s="490">
        <v>1.836</v>
      </c>
      <c r="C9" s="490">
        <v>1.802</v>
      </c>
      <c r="D9" s="490">
        <v>1.836</v>
      </c>
      <c r="E9" s="490">
        <v>1.802</v>
      </c>
      <c r="F9" s="490">
        <v>1.928</v>
      </c>
      <c r="G9" s="490">
        <v>1.892</v>
      </c>
      <c r="H9" s="490">
        <v>2.02</v>
      </c>
      <c r="I9" s="491">
        <v>1.982</v>
      </c>
    </row>
    <row r="10" spans="1:9" ht="12.75">
      <c r="A10" s="499"/>
      <c r="B10" s="610" t="s">
        <v>52</v>
      </c>
      <c r="C10" s="610"/>
      <c r="D10" s="610"/>
      <c r="E10" s="610"/>
      <c r="F10" s="610"/>
      <c r="G10" s="610"/>
      <c r="H10" s="610"/>
      <c r="I10" s="610"/>
    </row>
    <row r="11" spans="1:9" ht="12.75">
      <c r="A11" s="485"/>
      <c r="B11" s="610">
        <v>75</v>
      </c>
      <c r="C11" s="610"/>
      <c r="D11" s="608">
        <v>150</v>
      </c>
      <c r="E11" s="608"/>
      <c r="F11" s="492">
        <v>350</v>
      </c>
      <c r="G11" s="493"/>
      <c r="H11" s="609">
        <v>9999</v>
      </c>
      <c r="I11" s="609"/>
    </row>
    <row r="12" spans="1:9" ht="12.75">
      <c r="A12" s="485"/>
      <c r="B12" s="61" t="s">
        <v>50</v>
      </c>
      <c r="C12" s="61" t="s">
        <v>51</v>
      </c>
      <c r="D12" s="61" t="s">
        <v>50</v>
      </c>
      <c r="E12" s="61" t="s">
        <v>51</v>
      </c>
      <c r="F12" s="61" t="s">
        <v>50</v>
      </c>
      <c r="G12" s="61" t="s">
        <v>51</v>
      </c>
      <c r="H12" s="61" t="s">
        <v>50</v>
      </c>
      <c r="I12" s="54" t="s">
        <v>51</v>
      </c>
    </row>
    <row r="13" spans="1:9" s="495" customFormat="1" ht="12.75">
      <c r="A13" s="485">
        <v>0</v>
      </c>
      <c r="B13" s="494">
        <v>427</v>
      </c>
      <c r="C13" s="494">
        <v>427</v>
      </c>
      <c r="D13" s="494">
        <v>720</v>
      </c>
      <c r="E13" s="494">
        <v>720</v>
      </c>
      <c r="F13" s="494">
        <v>985</v>
      </c>
      <c r="G13" s="494">
        <v>985</v>
      </c>
      <c r="H13" s="494">
        <v>2323</v>
      </c>
      <c r="I13" s="494">
        <v>2323</v>
      </c>
    </row>
    <row r="14" spans="1:9" s="495" customFormat="1" ht="12.75">
      <c r="A14" s="485">
        <v>6</v>
      </c>
      <c r="B14" s="494">
        <v>427</v>
      </c>
      <c r="C14" s="494">
        <v>427</v>
      </c>
      <c r="D14" s="494">
        <v>720</v>
      </c>
      <c r="E14" s="494">
        <v>720</v>
      </c>
      <c r="F14" s="494">
        <v>985</v>
      </c>
      <c r="G14" s="494">
        <v>985</v>
      </c>
      <c r="H14" s="494">
        <v>2323</v>
      </c>
      <c r="I14" s="494">
        <v>2323</v>
      </c>
    </row>
    <row r="15" spans="1:9" s="495" customFormat="1" ht="12.75">
      <c r="A15" s="485">
        <v>11</v>
      </c>
      <c r="B15" s="494">
        <v>427</v>
      </c>
      <c r="C15" s="494">
        <v>427</v>
      </c>
      <c r="D15" s="494">
        <v>720</v>
      </c>
      <c r="E15" s="494">
        <v>720</v>
      </c>
      <c r="F15" s="494">
        <v>985</v>
      </c>
      <c r="G15" s="494">
        <v>985</v>
      </c>
      <c r="H15" s="494">
        <v>2323</v>
      </c>
      <c r="I15" s="494">
        <v>2323</v>
      </c>
    </row>
    <row r="17" spans="1:5" ht="12.75">
      <c r="A17" s="500" t="s">
        <v>53</v>
      </c>
      <c r="B17" s="604" t="s">
        <v>49</v>
      </c>
      <c r="C17" s="604"/>
      <c r="D17" s="605" t="s">
        <v>52</v>
      </c>
      <c r="E17" s="605"/>
    </row>
    <row r="18" spans="1:5" ht="12.75">
      <c r="A18" s="485"/>
      <c r="B18" s="61" t="s">
        <v>54</v>
      </c>
      <c r="C18" s="61" t="s">
        <v>55</v>
      </c>
      <c r="D18" s="61" t="s">
        <v>54</v>
      </c>
      <c r="E18" s="54" t="s">
        <v>55</v>
      </c>
    </row>
    <row r="19" spans="1:5" ht="12.75">
      <c r="A19" s="485" t="s">
        <v>56</v>
      </c>
      <c r="B19" s="496">
        <v>0.04</v>
      </c>
      <c r="C19" s="61"/>
      <c r="D19" s="61"/>
      <c r="E19" s="54"/>
    </row>
    <row r="20" spans="1:5" ht="12.75">
      <c r="A20" s="485" t="s">
        <v>57</v>
      </c>
      <c r="B20" s="496">
        <v>0.04</v>
      </c>
      <c r="C20" s="61"/>
      <c r="D20" s="61"/>
      <c r="E20" s="54">
        <v>60</v>
      </c>
    </row>
    <row r="21" spans="1:8" ht="12.75">
      <c r="A21" s="485" t="s">
        <v>58</v>
      </c>
      <c r="B21" s="497">
        <v>0.005</v>
      </c>
      <c r="C21" s="61">
        <v>50</v>
      </c>
      <c r="D21" s="61"/>
      <c r="E21" s="54"/>
      <c r="H21" s="53" t="s">
        <v>59</v>
      </c>
    </row>
    <row r="22" spans="1:9" ht="12.75">
      <c r="A22" s="485"/>
      <c r="B22" s="61"/>
      <c r="C22" s="61"/>
      <c r="D22" s="61"/>
      <c r="E22" s="54"/>
      <c r="H22" s="53">
        <v>0</v>
      </c>
      <c r="I22" s="53">
        <v>0</v>
      </c>
    </row>
    <row r="23" spans="1:9" ht="12.75">
      <c r="A23" s="485" t="s">
        <v>60</v>
      </c>
      <c r="B23" s="61"/>
      <c r="C23" s="61">
        <v>400</v>
      </c>
      <c r="D23" s="61"/>
      <c r="E23" s="54">
        <v>100</v>
      </c>
      <c r="H23" s="53">
        <v>500</v>
      </c>
      <c r="I23" s="53">
        <f>MIN(50,5%*'2 Wheeler'!$C$16)</f>
        <v>30.055708</v>
      </c>
    </row>
    <row r="24" spans="1:9" ht="12.75">
      <c r="A24" s="485" t="s">
        <v>61</v>
      </c>
      <c r="B24" s="496">
        <v>0.3</v>
      </c>
      <c r="C24" s="61"/>
      <c r="D24" s="61"/>
      <c r="E24" s="54"/>
      <c r="H24" s="53">
        <v>750</v>
      </c>
      <c r="I24" s="53">
        <f>MIN(75,10%*'2 Wheeler'!$C$16)</f>
        <v>60.111416</v>
      </c>
    </row>
    <row r="25" spans="1:9" ht="12.75">
      <c r="A25" s="485" t="s">
        <v>62</v>
      </c>
      <c r="B25" s="497">
        <v>0.05</v>
      </c>
      <c r="C25" s="61">
        <v>50</v>
      </c>
      <c r="D25" s="61"/>
      <c r="E25" s="54"/>
      <c r="H25" s="53">
        <v>1000</v>
      </c>
      <c r="I25" s="53">
        <f>MIN(125,15%*'2 Wheeler'!$C$16)</f>
        <v>90.16712399999999</v>
      </c>
    </row>
    <row r="26" spans="1:9" ht="12.75">
      <c r="A26" s="485" t="s">
        <v>63</v>
      </c>
      <c r="B26" s="61"/>
      <c r="C26" s="61"/>
      <c r="D26" s="61"/>
      <c r="E26" s="54">
        <v>100</v>
      </c>
      <c r="H26" s="53">
        <v>1500</v>
      </c>
      <c r="I26" s="53">
        <f>MIN(200,20%*'2 Wheeler'!$C$16)</f>
        <v>120.222832</v>
      </c>
    </row>
    <row r="27" spans="1:9" ht="12.75">
      <c r="A27" s="485" t="s">
        <v>64</v>
      </c>
      <c r="B27" s="61"/>
      <c r="C27" s="61"/>
      <c r="D27" s="61"/>
      <c r="E27" s="54">
        <v>50</v>
      </c>
      <c r="H27" s="53">
        <v>3000</v>
      </c>
      <c r="I27" s="53">
        <f>MIN(250,25%*'2 Wheeler'!$C$16)</f>
        <v>150.27854</v>
      </c>
    </row>
    <row r="28" spans="1:5" ht="12.75">
      <c r="A28" s="485" t="s">
        <v>65</v>
      </c>
      <c r="B28" s="61"/>
      <c r="C28" s="61"/>
      <c r="D28" s="61"/>
      <c r="E28" s="54">
        <v>50</v>
      </c>
    </row>
    <row r="29" spans="1:5" ht="12.75">
      <c r="A29" s="485"/>
      <c r="B29" s="61"/>
      <c r="C29" s="61"/>
      <c r="D29" s="61"/>
      <c r="E29" s="54"/>
    </row>
    <row r="30" spans="1:5" ht="12.75">
      <c r="A30" s="485"/>
      <c r="B30" s="61"/>
      <c r="C30" s="61"/>
      <c r="D30" s="61"/>
      <c r="E30" s="54"/>
    </row>
    <row r="31" spans="1:5" ht="12.75">
      <c r="A31" s="485"/>
      <c r="B31" s="61"/>
      <c r="C31" s="61"/>
      <c r="D31" s="61"/>
      <c r="E31" s="54"/>
    </row>
    <row r="32" spans="1:5" ht="12.75">
      <c r="A32" s="485" t="s">
        <v>66</v>
      </c>
      <c r="B32" s="61"/>
      <c r="C32" s="61"/>
      <c r="D32" s="61"/>
      <c r="E32" s="54"/>
    </row>
    <row r="33" spans="1:5" ht="12.75">
      <c r="A33" s="485" t="s">
        <v>67</v>
      </c>
      <c r="B33" s="61">
        <v>2.5</v>
      </c>
      <c r="C33" s="61">
        <v>500</v>
      </c>
      <c r="D33" s="61"/>
      <c r="E33" s="54"/>
    </row>
    <row r="34" spans="1:5" ht="12.75">
      <c r="A34" s="485" t="s">
        <v>68</v>
      </c>
      <c r="B34" s="61"/>
      <c r="C34" s="61"/>
      <c r="D34" s="61"/>
      <c r="E34" s="54">
        <v>100</v>
      </c>
    </row>
    <row r="35" spans="1:5" ht="12.75">
      <c r="A35" s="485" t="s">
        <v>69</v>
      </c>
      <c r="B35" s="496">
        <v>0.5</v>
      </c>
      <c r="C35" s="61"/>
      <c r="D35" s="61"/>
      <c r="E35" s="54"/>
    </row>
    <row r="36" spans="1:5" ht="12.75">
      <c r="A36" s="485" t="s">
        <v>70</v>
      </c>
      <c r="B36" s="497">
        <v>0.3333</v>
      </c>
      <c r="C36" s="61"/>
      <c r="D36" s="61"/>
      <c r="E36" s="54"/>
    </row>
    <row r="37" spans="1:5" ht="12.75">
      <c r="A37" s="485" t="s">
        <v>71</v>
      </c>
      <c r="B37" s="61" t="s">
        <v>55</v>
      </c>
      <c r="C37" s="61" t="s">
        <v>54</v>
      </c>
      <c r="D37" s="61" t="s">
        <v>72</v>
      </c>
      <c r="E37" s="54"/>
    </row>
    <row r="38" spans="1:5" ht="12.75">
      <c r="A38" s="485"/>
      <c r="B38" s="61">
        <v>2500</v>
      </c>
      <c r="C38" s="61">
        <v>20</v>
      </c>
      <c r="D38" s="61">
        <v>750</v>
      </c>
      <c r="E38" s="54"/>
    </row>
    <row r="39" spans="1:5" ht="12.75">
      <c r="A39" s="485"/>
      <c r="B39" s="61">
        <v>5000</v>
      </c>
      <c r="C39" s="61">
        <v>25</v>
      </c>
      <c r="D39" s="61">
        <v>1500</v>
      </c>
      <c r="E39" s="54"/>
    </row>
    <row r="40" spans="1:5" ht="12.75">
      <c r="A40" s="485"/>
      <c r="B40" s="61">
        <v>7500</v>
      </c>
      <c r="C40" s="61">
        <v>30</v>
      </c>
      <c r="D40" s="61">
        <v>2000</v>
      </c>
      <c r="E40" s="54"/>
    </row>
    <row r="41" spans="1:5" ht="12.75">
      <c r="A41" s="485"/>
      <c r="B41" s="61">
        <v>15000</v>
      </c>
      <c r="C41" s="61">
        <v>35</v>
      </c>
      <c r="D41" s="61">
        <v>2500</v>
      </c>
      <c r="E41" s="54"/>
    </row>
  </sheetData>
  <sheetProtection selectLockedCells="1" selectUnlockedCells="1"/>
  <mergeCells count="11">
    <mergeCell ref="H11:I11"/>
    <mergeCell ref="F5:G5"/>
    <mergeCell ref="B17:C17"/>
    <mergeCell ref="D17:E17"/>
    <mergeCell ref="B4:I4"/>
    <mergeCell ref="B5:C5"/>
    <mergeCell ref="D5:E5"/>
    <mergeCell ref="H5:I5"/>
    <mergeCell ref="B10:I10"/>
    <mergeCell ref="B11:C11"/>
    <mergeCell ref="D11:E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C18" sqref="C18"/>
    </sheetView>
  </sheetViews>
  <sheetFormatPr defaultColWidth="9.140625" defaultRowHeight="15.75" customHeight="1"/>
  <cols>
    <col min="1" max="1" width="29.421875" style="98" customWidth="1"/>
    <col min="2" max="2" width="5.57421875" style="98" customWidth="1"/>
    <col min="3" max="3" width="6.140625" style="128" customWidth="1"/>
    <col min="4" max="4" width="10.8515625" style="98" customWidth="1"/>
    <col min="5" max="5" width="3.28125" style="98" customWidth="1"/>
    <col min="6" max="6" width="23.7109375" style="98" customWidth="1"/>
    <col min="7" max="7" width="9.00390625" style="98" customWidth="1"/>
    <col min="8" max="8" width="11.140625" style="98" customWidth="1"/>
    <col min="9" max="9" width="9.8515625" style="98" customWidth="1"/>
    <col min="10" max="10" width="8.7109375" style="98" customWidth="1"/>
    <col min="11" max="11" width="8.00390625" style="98" customWidth="1"/>
    <col min="12" max="12" width="9.00390625" style="98" customWidth="1"/>
    <col min="13" max="13" width="8.57421875" style="98" customWidth="1"/>
    <col min="14" max="16384" width="9.140625" style="98" customWidth="1"/>
  </cols>
  <sheetData>
    <row r="1" spans="1:8" ht="15.75" customHeight="1">
      <c r="A1" s="619" t="s">
        <v>0</v>
      </c>
      <c r="B1" s="619"/>
      <c r="C1" s="619"/>
      <c r="D1" s="619"/>
      <c r="E1" s="619"/>
      <c r="F1" s="619"/>
      <c r="G1" s="619"/>
      <c r="H1" s="619"/>
    </row>
    <row r="2" spans="1:11" ht="15.75" customHeight="1">
      <c r="A2" s="620" t="s">
        <v>222</v>
      </c>
      <c r="B2" s="620"/>
      <c r="C2" s="620"/>
      <c r="D2" s="620"/>
      <c r="E2" s="620"/>
      <c r="F2" s="620"/>
      <c r="G2" s="620"/>
      <c r="H2" s="620"/>
      <c r="J2" s="611" t="s">
        <v>120</v>
      </c>
      <c r="K2" s="611"/>
    </row>
    <row r="3" spans="1:11" ht="15.75" customHeight="1">
      <c r="A3" s="522" t="s">
        <v>235</v>
      </c>
      <c r="B3" s="616"/>
      <c r="C3" s="617"/>
      <c r="D3" s="617"/>
      <c r="E3" s="617"/>
      <c r="F3" s="617"/>
      <c r="G3" s="617"/>
      <c r="H3" s="618"/>
      <c r="J3" s="611"/>
      <c r="K3" s="611"/>
    </row>
    <row r="4" spans="1:10" ht="15.75" customHeight="1">
      <c r="A4" s="522" t="s">
        <v>234</v>
      </c>
      <c r="B4" s="616"/>
      <c r="C4" s="617"/>
      <c r="D4" s="617"/>
      <c r="E4" s="617"/>
      <c r="F4" s="617"/>
      <c r="G4" s="617"/>
      <c r="H4" s="618"/>
      <c r="J4" s="120"/>
    </row>
    <row r="5" spans="1:8" ht="15.75" customHeight="1">
      <c r="A5" s="612" t="s">
        <v>76</v>
      </c>
      <c r="B5" s="612"/>
      <c r="C5" s="612"/>
      <c r="D5" s="612"/>
      <c r="E5" s="612"/>
      <c r="F5" s="612"/>
      <c r="G5" s="612"/>
      <c r="H5" s="612"/>
    </row>
    <row r="6" spans="1:10" ht="15.75" customHeight="1">
      <c r="A6" s="585" t="s">
        <v>77</v>
      </c>
      <c r="B6" s="585"/>
      <c r="C6" s="585"/>
      <c r="D6" s="180">
        <v>365000</v>
      </c>
      <c r="E6" s="592"/>
      <c r="F6" s="585" t="s">
        <v>80</v>
      </c>
      <c r="G6" s="585"/>
      <c r="H6" s="414">
        <v>2017</v>
      </c>
      <c r="J6" s="121"/>
    </row>
    <row r="7" spans="1:8" ht="15.75" customHeight="1">
      <c r="A7" s="585" t="s">
        <v>78</v>
      </c>
      <c r="B7" s="585"/>
      <c r="C7" s="585"/>
      <c r="D7" s="180">
        <v>0</v>
      </c>
      <c r="E7" s="592"/>
      <c r="F7" s="613" t="s">
        <v>40</v>
      </c>
      <c r="G7" s="613"/>
      <c r="H7" s="259" t="s">
        <v>51</v>
      </c>
    </row>
    <row r="8" spans="1:12" ht="15.75" customHeight="1">
      <c r="A8" s="585" t="s">
        <v>79</v>
      </c>
      <c r="B8" s="585"/>
      <c r="C8" s="585"/>
      <c r="D8" s="415">
        <v>0</v>
      </c>
      <c r="E8" s="592"/>
      <c r="F8" s="585" t="s">
        <v>121</v>
      </c>
      <c r="G8" s="585"/>
      <c r="H8" s="183">
        <v>1000</v>
      </c>
      <c r="L8" s="122"/>
    </row>
    <row r="9" spans="1:16" ht="15.75" customHeight="1">
      <c r="A9" s="585" t="s">
        <v>58</v>
      </c>
      <c r="B9" s="585"/>
      <c r="C9" s="585"/>
      <c r="D9" s="180">
        <v>0</v>
      </c>
      <c r="E9" s="592"/>
      <c r="F9" s="614" t="s">
        <v>217</v>
      </c>
      <c r="G9" s="615"/>
      <c r="H9" s="520" t="s">
        <v>232</v>
      </c>
      <c r="L9" s="122"/>
      <c r="N9" s="104"/>
      <c r="O9" s="104"/>
      <c r="P9" s="104"/>
    </row>
    <row r="10" spans="1:12" ht="15.75" customHeight="1">
      <c r="A10" s="628" t="s">
        <v>82</v>
      </c>
      <c r="B10" s="628"/>
      <c r="C10" s="628"/>
      <c r="D10" s="628"/>
      <c r="E10" s="628"/>
      <c r="F10" s="628"/>
      <c r="G10" s="628"/>
      <c r="H10" s="628"/>
      <c r="L10" s="122"/>
    </row>
    <row r="11" spans="1:12" ht="15.75" customHeight="1">
      <c r="A11" s="586" t="s">
        <v>83</v>
      </c>
      <c r="B11" s="586"/>
      <c r="C11" s="586"/>
      <c r="D11" s="586"/>
      <c r="E11" s="625"/>
      <c r="F11" s="586" t="s">
        <v>84</v>
      </c>
      <c r="G11" s="586"/>
      <c r="H11" s="586"/>
      <c r="L11" s="122"/>
    </row>
    <row r="12" spans="1:12" ht="15.75" customHeight="1">
      <c r="A12" s="480" t="s">
        <v>122</v>
      </c>
      <c r="B12" s="481"/>
      <c r="C12" s="182"/>
      <c r="D12" s="162">
        <f>+D6*CARCAL!B8/100</f>
        <v>11092.35</v>
      </c>
      <c r="E12" s="626"/>
      <c r="F12" s="153" t="s">
        <v>46</v>
      </c>
      <c r="G12" s="183"/>
      <c r="H12" s="162">
        <f>+CARCAL!B11</f>
        <v>1850</v>
      </c>
      <c r="L12" s="122"/>
    </row>
    <row r="13" spans="1:15" ht="15.75" customHeight="1">
      <c r="A13" s="621" t="s">
        <v>87</v>
      </c>
      <c r="B13" s="622"/>
      <c r="C13" s="182"/>
      <c r="D13" s="162">
        <f>4%*D7</f>
        <v>0</v>
      </c>
      <c r="E13" s="626"/>
      <c r="F13" s="153" t="s">
        <v>58</v>
      </c>
      <c r="G13" s="183"/>
      <c r="H13" s="162">
        <f>IF(C16="Yes",125,0)</f>
        <v>0</v>
      </c>
      <c r="L13" s="122"/>
      <c r="N13" s="97"/>
      <c r="O13" s="106"/>
    </row>
    <row r="14" spans="1:15" ht="15.75" customHeight="1">
      <c r="A14" s="621" t="s">
        <v>123</v>
      </c>
      <c r="B14" s="622"/>
      <c r="C14" s="182"/>
      <c r="D14" s="162">
        <f>IF(D8&gt;0,4%*D8,0)</f>
        <v>0</v>
      </c>
      <c r="E14" s="626"/>
      <c r="F14" s="153" t="s">
        <v>124</v>
      </c>
      <c r="G14" s="183"/>
      <c r="H14" s="162">
        <f>IF(D8&gt;0,60,0)</f>
        <v>0</v>
      </c>
      <c r="L14" s="122"/>
      <c r="O14" s="106"/>
    </row>
    <row r="15" spans="1:15" ht="15.75" customHeight="1">
      <c r="A15" s="623" t="s">
        <v>92</v>
      </c>
      <c r="B15" s="624"/>
      <c r="C15" s="416"/>
      <c r="D15" s="184">
        <f>ROUND((D12+D13+D14),0)</f>
        <v>11092</v>
      </c>
      <c r="E15" s="626"/>
      <c r="F15" s="190" t="s">
        <v>93</v>
      </c>
      <c r="G15" s="403"/>
      <c r="H15" s="184">
        <f>SUM(H12:H14)</f>
        <v>1850</v>
      </c>
      <c r="L15" s="122"/>
      <c r="O15" s="106"/>
    </row>
    <row r="16" spans="1:15" ht="15.75" customHeight="1">
      <c r="A16" s="621" t="s">
        <v>58</v>
      </c>
      <c r="B16" s="622"/>
      <c r="C16" s="182" t="s">
        <v>35</v>
      </c>
      <c r="D16" s="162">
        <f>IF(C16="Yes",50+(0.5%*D9),0)</f>
        <v>0</v>
      </c>
      <c r="E16" s="626"/>
      <c r="F16" s="153" t="s">
        <v>125</v>
      </c>
      <c r="G16" s="182" t="s">
        <v>88</v>
      </c>
      <c r="H16" s="162">
        <f>IF(G16="Yes",750,0)</f>
        <v>750</v>
      </c>
      <c r="L16" s="122"/>
      <c r="N16" s="97"/>
      <c r="O16" s="106"/>
    </row>
    <row r="17" spans="1:14" ht="15.75" customHeight="1">
      <c r="A17" s="621" t="s">
        <v>96</v>
      </c>
      <c r="B17" s="622"/>
      <c r="C17" s="182" t="s">
        <v>35</v>
      </c>
      <c r="D17" s="162">
        <f>IF(C17="Yes",500,0)</f>
        <v>0</v>
      </c>
      <c r="E17" s="626"/>
      <c r="F17" s="153" t="s">
        <v>126</v>
      </c>
      <c r="G17" s="182" t="s">
        <v>88</v>
      </c>
      <c r="H17" s="162">
        <f>IF(G17="Yes",50*G18,0)</f>
        <v>50</v>
      </c>
      <c r="L17" s="122"/>
      <c r="N17" s="97"/>
    </row>
    <row r="18" spans="1:15" ht="15.75" customHeight="1">
      <c r="A18" s="621" t="s">
        <v>95</v>
      </c>
      <c r="B18" s="622"/>
      <c r="C18" s="404" t="s">
        <v>35</v>
      </c>
      <c r="D18" s="162">
        <f>D6*A46/10</f>
        <v>0</v>
      </c>
      <c r="E18" s="626"/>
      <c r="F18" s="186" t="str">
        <f>IF(G17="Yes","Driver/Employee","")</f>
        <v>Driver/Employee</v>
      </c>
      <c r="G18" s="182">
        <v>1</v>
      </c>
      <c r="H18" s="153"/>
      <c r="L18" s="122"/>
      <c r="N18" s="97"/>
      <c r="O18" s="106"/>
    </row>
    <row r="19" spans="1:12" ht="15.75" customHeight="1">
      <c r="A19" s="621" t="s">
        <v>127</v>
      </c>
      <c r="B19" s="622"/>
      <c r="C19" s="185">
        <v>0.25</v>
      </c>
      <c r="D19" s="162">
        <f>(D15)*C19</f>
        <v>2773</v>
      </c>
      <c r="E19" s="626"/>
      <c r="F19" s="153" t="s">
        <v>128</v>
      </c>
      <c r="G19" s="182" t="s">
        <v>88</v>
      </c>
      <c r="H19" s="162">
        <f>IF(G19="Yes",0.5*G20*H20/1000,0)</f>
        <v>200</v>
      </c>
      <c r="L19" s="122"/>
    </row>
    <row r="20" spans="1:12" ht="15.75" customHeight="1">
      <c r="A20" s="621" t="s">
        <v>129</v>
      </c>
      <c r="B20" s="622"/>
      <c r="C20" s="182" t="s">
        <v>35</v>
      </c>
      <c r="D20" s="162">
        <f>IF(C20="Yes",50,0)</f>
        <v>0</v>
      </c>
      <c r="E20" s="626"/>
      <c r="F20" s="186" t="str">
        <f>IF(G19="Yes","No of Seating Capacity","")</f>
        <v>No of Seating Capacity</v>
      </c>
      <c r="G20" s="182">
        <v>4</v>
      </c>
      <c r="H20" s="417">
        <v>100000</v>
      </c>
      <c r="L20" s="122"/>
    </row>
    <row r="21" spans="1:12" ht="15.75" customHeight="1">
      <c r="A21" s="621" t="s">
        <v>130</v>
      </c>
      <c r="B21" s="622"/>
      <c r="C21" s="182" t="s">
        <v>35</v>
      </c>
      <c r="D21" s="162">
        <f>IF(C21="Yes",60%*(D15-D30),0)</f>
        <v>0</v>
      </c>
      <c r="E21" s="626"/>
      <c r="F21" s="153" t="s">
        <v>98</v>
      </c>
      <c r="G21" s="183"/>
      <c r="H21" s="162">
        <v>0</v>
      </c>
      <c r="L21" s="122"/>
    </row>
    <row r="22" spans="1:12" ht="15.75" customHeight="1">
      <c r="A22" s="623" t="s">
        <v>131</v>
      </c>
      <c r="B22" s="624"/>
      <c r="C22" s="416"/>
      <c r="D22" s="184">
        <f>D15+D16+D17+D18+D19+D20+D21</f>
        <v>13865</v>
      </c>
      <c r="E22" s="626"/>
      <c r="F22" s="190" t="s">
        <v>102</v>
      </c>
      <c r="G22" s="403"/>
      <c r="H22" s="184">
        <f>SUM(H15:H17)+H19+H21</f>
        <v>2850</v>
      </c>
      <c r="L22" s="122"/>
    </row>
    <row r="23" spans="1:12" ht="15.75" customHeight="1">
      <c r="A23" s="621" t="s">
        <v>67</v>
      </c>
      <c r="B23" s="622"/>
      <c r="C23" s="182" t="s">
        <v>35</v>
      </c>
      <c r="D23" s="162">
        <f>IF(C23="Yes",MIN(500,2.5%*(D15-D30)),0)</f>
        <v>0</v>
      </c>
      <c r="E23" s="626"/>
      <c r="F23" s="153" t="s">
        <v>68</v>
      </c>
      <c r="G23" s="418">
        <v>750000</v>
      </c>
      <c r="H23" s="162">
        <f>IF(G23=750000,0,100)</f>
        <v>0</v>
      </c>
      <c r="L23" s="122"/>
    </row>
    <row r="24" spans="1:8" ht="15.75" customHeight="1">
      <c r="A24" s="621" t="s">
        <v>132</v>
      </c>
      <c r="B24" s="622"/>
      <c r="C24" s="182" t="s">
        <v>35</v>
      </c>
      <c r="D24" s="162">
        <f>IF(C24="Yes",50%*(D15-D30),0)</f>
        <v>0</v>
      </c>
      <c r="E24" s="626"/>
      <c r="F24" s="153"/>
      <c r="G24" s="183"/>
      <c r="H24" s="162"/>
    </row>
    <row r="25" spans="1:8" ht="15.75" customHeight="1">
      <c r="A25" s="621" t="s">
        <v>62</v>
      </c>
      <c r="B25" s="622"/>
      <c r="C25" s="182" t="s">
        <v>35</v>
      </c>
      <c r="D25" s="162">
        <f>IF(C25="Yes",MIN(200,5%*(D15-D30)),0)</f>
        <v>0</v>
      </c>
      <c r="E25" s="626"/>
      <c r="F25" s="153"/>
      <c r="G25" s="183"/>
      <c r="H25" s="162"/>
    </row>
    <row r="26" spans="1:10" ht="15.75" customHeight="1">
      <c r="A26" s="621" t="s">
        <v>133</v>
      </c>
      <c r="B26" s="622"/>
      <c r="C26" s="182" t="s">
        <v>35</v>
      </c>
      <c r="D26" s="162">
        <f>IF(C26="Yes",33.33%*(D15-D30),0)</f>
        <v>0</v>
      </c>
      <c r="E26" s="626"/>
      <c r="F26" s="153"/>
      <c r="G26" s="183"/>
      <c r="H26" s="162"/>
      <c r="J26" s="123"/>
    </row>
    <row r="27" spans="1:10" ht="15.75" customHeight="1">
      <c r="A27" s="621" t="s">
        <v>104</v>
      </c>
      <c r="B27" s="622"/>
      <c r="C27" s="419">
        <v>0</v>
      </c>
      <c r="D27" s="162">
        <f>VLOOKUP(C27,CART!I18:J22,2)</f>
        <v>0</v>
      </c>
      <c r="E27" s="626"/>
      <c r="F27" s="153"/>
      <c r="G27" s="183"/>
      <c r="H27" s="162"/>
      <c r="J27" s="123"/>
    </row>
    <row r="28" spans="1:10" ht="15.75" customHeight="1">
      <c r="A28" s="623" t="s">
        <v>105</v>
      </c>
      <c r="B28" s="624"/>
      <c r="C28" s="416"/>
      <c r="D28" s="184">
        <f>D22-SUM(D23:D27)</f>
        <v>13865</v>
      </c>
      <c r="E28" s="626"/>
      <c r="F28" s="187"/>
      <c r="G28" s="189"/>
      <c r="H28" s="188"/>
      <c r="I28" s="124"/>
      <c r="J28" s="123"/>
    </row>
    <row r="29" spans="1:10" ht="15.75" customHeight="1">
      <c r="A29" s="621" t="s">
        <v>73</v>
      </c>
      <c r="B29" s="622"/>
      <c r="C29" s="185">
        <v>0</v>
      </c>
      <c r="D29" s="162">
        <f>(D28-D30-D31)*C29</f>
        <v>0</v>
      </c>
      <c r="E29" s="626"/>
      <c r="F29" s="153"/>
      <c r="G29" s="183"/>
      <c r="H29" s="162"/>
      <c r="I29" s="124"/>
      <c r="J29" s="123"/>
    </row>
    <row r="30" spans="1:18" s="104" customFormat="1" ht="15.75" customHeight="1">
      <c r="A30" s="621" t="s">
        <v>108</v>
      </c>
      <c r="B30" s="622"/>
      <c r="C30" s="185">
        <v>0.65</v>
      </c>
      <c r="D30" s="162">
        <f>D15*C30</f>
        <v>7209.8</v>
      </c>
      <c r="E30" s="626"/>
      <c r="F30" s="153"/>
      <c r="G30" s="183"/>
      <c r="H30" s="162"/>
      <c r="J30" s="98"/>
      <c r="K30" s="98"/>
      <c r="L30" s="98"/>
      <c r="M30" s="98"/>
      <c r="N30" s="98"/>
      <c r="O30" s="98"/>
      <c r="P30" s="98"/>
      <c r="Q30" s="98"/>
      <c r="R30" s="98"/>
    </row>
    <row r="31" spans="1:10" ht="15.75" customHeight="1">
      <c r="A31" s="621" t="s">
        <v>197</v>
      </c>
      <c r="B31" s="622"/>
      <c r="C31" s="185">
        <v>0</v>
      </c>
      <c r="D31" s="162">
        <f>D19*C31</f>
        <v>0</v>
      </c>
      <c r="E31" s="626"/>
      <c r="F31" s="153"/>
      <c r="G31" s="183"/>
      <c r="H31" s="162"/>
      <c r="J31" s="123"/>
    </row>
    <row r="32" spans="1:8" ht="15.75" customHeight="1">
      <c r="A32" s="612" t="s">
        <v>109</v>
      </c>
      <c r="B32" s="612"/>
      <c r="C32" s="612"/>
      <c r="D32" s="420">
        <f>D28-(D29+D30+D31)</f>
        <v>6655.2</v>
      </c>
      <c r="E32" s="627"/>
      <c r="F32" s="612" t="s">
        <v>110</v>
      </c>
      <c r="G32" s="612"/>
      <c r="H32" s="184">
        <f>H22-H23</f>
        <v>2850</v>
      </c>
    </row>
    <row r="33" spans="1:12" ht="15.75" customHeight="1">
      <c r="A33" s="97"/>
      <c r="B33" s="97"/>
      <c r="C33" s="125"/>
      <c r="D33" s="110"/>
      <c r="E33" s="110"/>
      <c r="F33" s="110"/>
      <c r="G33" s="110"/>
      <c r="H33" s="112"/>
      <c r="J33" s="126"/>
      <c r="K33" s="104"/>
      <c r="L33" s="127"/>
    </row>
    <row r="34" spans="1:8" ht="15.75" customHeight="1">
      <c r="A34" s="598" t="s">
        <v>200</v>
      </c>
      <c r="B34" s="468"/>
      <c r="C34" s="473"/>
      <c r="D34" s="473"/>
      <c r="E34" s="473"/>
      <c r="F34" s="474" t="s">
        <v>111</v>
      </c>
      <c r="G34" s="475" t="s">
        <v>112</v>
      </c>
      <c r="H34" s="469" t="s">
        <v>36</v>
      </c>
    </row>
    <row r="35" spans="1:8" ht="15.75" customHeight="1">
      <c r="A35" s="598"/>
      <c r="B35" s="468"/>
      <c r="C35" s="631" t="s">
        <v>113</v>
      </c>
      <c r="D35" s="631"/>
      <c r="E35" s="631"/>
      <c r="F35" s="476">
        <f>D32</f>
        <v>6655.2</v>
      </c>
      <c r="G35" s="477">
        <f>H32</f>
        <v>2850</v>
      </c>
      <c r="H35" s="470">
        <f>SUM(F35:G35)</f>
        <v>9505.2</v>
      </c>
    </row>
    <row r="36" spans="1:8" ht="15.75" customHeight="1">
      <c r="A36" s="598"/>
      <c r="B36" s="468"/>
      <c r="C36" s="629" t="s">
        <v>209</v>
      </c>
      <c r="D36" s="629"/>
      <c r="E36" s="629"/>
      <c r="F36" s="478">
        <f>F35*HyperLink!B21</f>
        <v>1197.936</v>
      </c>
      <c r="G36" s="478">
        <f>G35*HyperLink!B21</f>
        <v>513</v>
      </c>
      <c r="H36" s="471">
        <f>H35*HyperLink!B21</f>
        <v>1710.9360000000001</v>
      </c>
    </row>
    <row r="37" spans="1:8" ht="15.75" customHeight="1">
      <c r="A37" s="598"/>
      <c r="B37" s="468"/>
      <c r="C37" s="630" t="s">
        <v>37</v>
      </c>
      <c r="D37" s="630"/>
      <c r="E37" s="630"/>
      <c r="F37" s="479">
        <f>SUM(F35:F36)</f>
        <v>7853.1359999999995</v>
      </c>
      <c r="G37" s="479">
        <f>SUM(G35:G36)</f>
        <v>3363</v>
      </c>
      <c r="H37" s="472">
        <f>SUM(H35:H36)</f>
        <v>11216.136</v>
      </c>
    </row>
    <row r="38" spans="6:10" ht="15.75" customHeight="1">
      <c r="F38" s="129"/>
      <c r="J38" s="123"/>
    </row>
    <row r="42" ht="15.75" customHeight="1" hidden="1"/>
    <row r="43" ht="15.75" customHeight="1" hidden="1"/>
    <row r="44" ht="15.75" customHeight="1" hidden="1"/>
    <row r="45" spans="1:3" ht="15.75" customHeight="1" hidden="1">
      <c r="A45" s="91" t="s">
        <v>54</v>
      </c>
      <c r="B45" s="91"/>
      <c r="C45" s="91" t="s">
        <v>119</v>
      </c>
    </row>
    <row r="46" spans="1:3" ht="15.75" customHeight="1" hidden="1">
      <c r="A46" s="92" t="b">
        <f>IF(C18="Yes",IF(C46=0,3%,IF(C46=1,4%,IF(C46=2,6%,0))))</f>
        <v>0</v>
      </c>
      <c r="B46" s="92"/>
      <c r="C46" s="93">
        <f ca="1">YEAR(TODAY())-(H6)</f>
        <v>1</v>
      </c>
    </row>
    <row r="47" ht="15.75" customHeight="1" hidden="1"/>
  </sheetData>
  <sheetProtection password="CEED" sheet="1"/>
  <mergeCells count="44">
    <mergeCell ref="C36:E36"/>
    <mergeCell ref="C37:E37"/>
    <mergeCell ref="A29:B29"/>
    <mergeCell ref="A25:B25"/>
    <mergeCell ref="A26:B26"/>
    <mergeCell ref="A32:C32"/>
    <mergeCell ref="C35:E35"/>
    <mergeCell ref="A34:A37"/>
    <mergeCell ref="A19:B19"/>
    <mergeCell ref="A17:B17"/>
    <mergeCell ref="A18:B18"/>
    <mergeCell ref="A30:B30"/>
    <mergeCell ref="A21:B21"/>
    <mergeCell ref="A10:H10"/>
    <mergeCell ref="A8:C8"/>
    <mergeCell ref="A15:B15"/>
    <mergeCell ref="A14:B14"/>
    <mergeCell ref="A20:B20"/>
    <mergeCell ref="E11:E32"/>
    <mergeCell ref="A23:B23"/>
    <mergeCell ref="A24:B24"/>
    <mergeCell ref="A16:B16"/>
    <mergeCell ref="A31:B31"/>
    <mergeCell ref="A13:B13"/>
    <mergeCell ref="A1:H1"/>
    <mergeCell ref="A2:H2"/>
    <mergeCell ref="A11:D11"/>
    <mergeCell ref="A7:C7"/>
    <mergeCell ref="F32:G32"/>
    <mergeCell ref="A27:B27"/>
    <mergeCell ref="A28:B28"/>
    <mergeCell ref="F11:H11"/>
    <mergeCell ref="A22:B22"/>
    <mergeCell ref="B4:H4"/>
    <mergeCell ref="J2:K3"/>
    <mergeCell ref="A5:H5"/>
    <mergeCell ref="A6:C6"/>
    <mergeCell ref="E6:E9"/>
    <mergeCell ref="F6:G6"/>
    <mergeCell ref="F7:G7"/>
    <mergeCell ref="F8:G8"/>
    <mergeCell ref="A9:C9"/>
    <mergeCell ref="F9:G9"/>
    <mergeCell ref="B3:H3"/>
  </mergeCells>
  <dataValidations count="9">
    <dataValidation allowBlank="1" showErrorMessage="1" sqref="C30:C31">
      <formula1>0</formula1>
      <formula2>0</formula2>
    </dataValidation>
    <dataValidation type="list" allowBlank="1" showErrorMessage="1" sqref="G23">
      <formula1>"6000,750000"</formula1>
      <formula2>0</formula2>
    </dataValidation>
    <dataValidation type="list" allowBlank="1" showErrorMessage="1" sqref="C23:C26 C8 G19 G16:G17 C16:C18 G14 C20:C21">
      <formula1>"Yes,No"</formula1>
      <formula2>0</formula2>
    </dataValidation>
    <dataValidation type="list" allowBlank="1" showErrorMessage="1" sqref="C27">
      <formula1>"0,2500,5000,7500,15000"</formula1>
      <formula2>0</formula2>
    </dataValidation>
    <dataValidation type="list" allowBlank="1" showErrorMessage="1" sqref="C29">
      <formula1>"65%,50%,45%,35%,25%,20%,0%"</formula1>
      <formula2>0</formula2>
    </dataValidation>
    <dataValidation type="list" allowBlank="1" showErrorMessage="1" sqref="C19">
      <formula1>"0,15%,25%,35%,"</formula1>
    </dataValidation>
    <dataValidation type="list" allowBlank="1" showErrorMessage="1" sqref="H7">
      <formula1>"A,B"</formula1>
      <formula2>0</formula2>
    </dataValidation>
    <dataValidation type="list" allowBlank="1" showErrorMessage="1" sqref="H20">
      <formula1>"0,50000,60000,70000,80000,90000,100000,120000,130000,140000,150000,160000,170000,180000,190000,200000,210000,220000,230000,240000,250000,260000,270000,280000,290000,300000"</formula1>
      <formula2>0</formula2>
    </dataValidation>
    <dataValidation type="list" allowBlank="1" showInputMessage="1" showErrorMessage="1" sqref="H9">
      <formula1>"PETROL,DIESEL"</formula1>
    </dataValidation>
  </dataValidations>
  <hyperlinks>
    <hyperlink ref="J2" location="HyperLink!A1" display="BACK TO          HYPER LINK"/>
  </hyperlinks>
  <printOptions/>
  <pageMargins left="0.39375" right="0" top="0.7479166666666667" bottom="0.7479166666666667" header="0.5118055555555555" footer="0.511805555555555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="90" zoomScaleNormal="90" zoomScalePageLayoutView="0" workbookViewId="0" topLeftCell="A1">
      <selection activeCell="E9" sqref="E9"/>
    </sheetView>
  </sheetViews>
  <sheetFormatPr defaultColWidth="9.140625" defaultRowHeight="12.75"/>
  <cols>
    <col min="1" max="1" width="35.00390625" style="449" bestFit="1" customWidth="1"/>
    <col min="2" max="2" width="12.7109375" style="454" customWidth="1"/>
    <col min="3" max="3" width="9.140625" style="449" customWidth="1"/>
    <col min="4" max="4" width="35.00390625" style="449" bestFit="1" customWidth="1"/>
    <col min="5" max="5" width="11.140625" style="449" customWidth="1"/>
    <col min="6" max="16384" width="9.140625" style="449" customWidth="1"/>
  </cols>
  <sheetData>
    <row r="1" spans="1:3" ht="15.75">
      <c r="A1" s="448"/>
      <c r="B1" s="452"/>
      <c r="C1" s="448"/>
    </row>
    <row r="2" spans="1:5" ht="16.5">
      <c r="A2" s="450" t="s">
        <v>39</v>
      </c>
      <c r="B2" s="453"/>
      <c r="C2" s="448"/>
      <c r="D2" s="450" t="s">
        <v>39</v>
      </c>
      <c r="E2" s="453"/>
    </row>
    <row r="3" spans="1:5" ht="15.75">
      <c r="A3" s="451"/>
      <c r="B3" s="453"/>
      <c r="C3" s="448"/>
      <c r="D3" s="451"/>
      <c r="E3" s="453"/>
    </row>
    <row r="4" spans="1:5" ht="15.75">
      <c r="A4" s="451" t="s">
        <v>40</v>
      </c>
      <c r="B4" s="453" t="str">
        <f>+'Pvt.Car'!H7</f>
        <v>B</v>
      </c>
      <c r="C4" s="448"/>
      <c r="D4" s="451" t="s">
        <v>40</v>
      </c>
      <c r="E4" s="453">
        <f>+'Pvt.Car'!M5</f>
        <v>0</v>
      </c>
    </row>
    <row r="5" spans="1:5" ht="15.75">
      <c r="A5" s="451" t="s">
        <v>41</v>
      </c>
      <c r="B5" s="453">
        <f>+'Pvt.Car'!H8</f>
        <v>1000</v>
      </c>
      <c r="C5" s="448"/>
      <c r="D5" s="451" t="s">
        <v>41</v>
      </c>
      <c r="E5" s="453">
        <f>+'Pvt.Car'!M6</f>
        <v>0</v>
      </c>
    </row>
    <row r="6" spans="1:5" ht="15.75">
      <c r="A6" s="451" t="s">
        <v>42</v>
      </c>
      <c r="B6" s="453">
        <f ca="1">IF((YEAR(TODAY())-'Pvt.Car'!H6+1)&lt;1,0,(YEAR(TODAY())-'Pvt.Car'!H6+1))</f>
        <v>2</v>
      </c>
      <c r="C6" s="448"/>
      <c r="D6" s="451" t="s">
        <v>42</v>
      </c>
      <c r="E6" s="453">
        <f ca="1">IF((YEAR(TODAY())-'Pvt.Car'!H6+1)&lt;1,0,(YEAR(TODAY())-'Pvt.Car'!H6+1))</f>
        <v>2</v>
      </c>
    </row>
    <row r="7" spans="1:5" ht="15.75">
      <c r="A7" s="451" t="s">
        <v>43</v>
      </c>
      <c r="B7" s="453">
        <f>(IF(B4="A",IF(B5&lt;1001,1,IF(B5&lt;1501,3,5)),IF(B5&lt;1001,2,IF(B5&lt;1501,4,6)))+1)</f>
        <v>3</v>
      </c>
      <c r="C7" s="448"/>
      <c r="D7" s="451" t="s">
        <v>43</v>
      </c>
      <c r="E7" s="453">
        <f>(IF(E4="A",IF(J5&lt;1001,1,IF(J5&lt;1501,3,5)),IF(J5&lt;1001,2,IF(J5&lt;1501,4,6)))+1)</f>
        <v>3</v>
      </c>
    </row>
    <row r="8" spans="1:5" ht="15.75">
      <c r="A8" s="451" t="s">
        <v>44</v>
      </c>
      <c r="B8" s="467">
        <f>VLOOKUP(B6,CART!A7:G9,CARCAL!B7)</f>
        <v>3.039</v>
      </c>
      <c r="C8" s="448"/>
      <c r="D8" s="451" t="s">
        <v>218</v>
      </c>
      <c r="E8" s="482">
        <f>VLOOKUP(E6,CART!I6:K11,CARCAL!E7)</f>
        <v>0.0018</v>
      </c>
    </row>
    <row r="9" spans="1:5" ht="15.75">
      <c r="A9" s="451"/>
      <c r="B9" s="453"/>
      <c r="C9" s="448"/>
      <c r="D9" s="451" t="s">
        <v>216</v>
      </c>
      <c r="E9" s="482">
        <f>VLOOKUP(E6,CART!M6:O12,CARCAL!E7)</f>
        <v>0.0022</v>
      </c>
    </row>
    <row r="10" spans="1:3" ht="16.5">
      <c r="A10" s="450" t="s">
        <v>45</v>
      </c>
      <c r="B10" s="453"/>
      <c r="C10" s="448"/>
    </row>
    <row r="11" spans="1:3" ht="15.75">
      <c r="A11" s="451" t="s">
        <v>46</v>
      </c>
      <c r="B11" s="453">
        <f>VLOOKUP(B6,CART!A13:G15,CARCAL!B7)</f>
        <v>1850</v>
      </c>
      <c r="C11" s="448"/>
    </row>
    <row r="12" spans="1:3" ht="15.75">
      <c r="A12" s="448"/>
      <c r="B12" s="452"/>
      <c r="C12" s="448"/>
    </row>
    <row r="13" spans="1:3" ht="15.75">
      <c r="A13" s="448"/>
      <c r="B13" s="452"/>
      <c r="C13" s="448"/>
    </row>
    <row r="14" spans="1:3" ht="15.75">
      <c r="A14" s="448"/>
      <c r="B14" s="452"/>
      <c r="C14" s="448"/>
    </row>
    <row r="15" spans="1:3" ht="15.75">
      <c r="A15" s="448"/>
      <c r="B15" s="452"/>
      <c r="C15" s="448"/>
    </row>
    <row r="16" spans="1:3" ht="15.75">
      <c r="A16" s="448"/>
      <c r="B16" s="452"/>
      <c r="C16" s="448"/>
    </row>
    <row r="17" spans="1:3" ht="15.75">
      <c r="A17" s="448"/>
      <c r="B17" s="452"/>
      <c r="C17" s="448"/>
    </row>
    <row r="18" spans="1:3" ht="15.75">
      <c r="A18" s="448"/>
      <c r="B18" s="452"/>
      <c r="C18" s="448"/>
    </row>
    <row r="19" spans="1:3" ht="15.75">
      <c r="A19" s="448"/>
      <c r="B19" s="452"/>
      <c r="C19" s="44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1"/>
  <sheetViews>
    <sheetView zoomScale="115" zoomScaleNormal="115" zoomScalePageLayoutView="0" workbookViewId="0" topLeftCell="A1">
      <selection activeCell="G18" sqref="G18"/>
    </sheetView>
  </sheetViews>
  <sheetFormatPr defaultColWidth="9.140625" defaultRowHeight="12.75"/>
  <cols>
    <col min="1" max="1" width="14.28125" style="98" bestFit="1" customWidth="1"/>
    <col min="2" max="7" width="10.28125" style="98" bestFit="1" customWidth="1"/>
    <col min="8" max="8" width="9.140625" style="98" customWidth="1"/>
    <col min="9" max="9" width="9.28125" style="98" bestFit="1" customWidth="1"/>
    <col min="10" max="10" width="9.00390625" style="98" bestFit="1" customWidth="1"/>
    <col min="11" max="16384" width="9.140625" style="98" customWidth="1"/>
  </cols>
  <sheetData>
    <row r="1" spans="1:11" ht="15">
      <c r="A1" s="455"/>
      <c r="B1" s="455"/>
      <c r="C1" s="455"/>
      <c r="D1" s="455"/>
      <c r="E1" s="455"/>
      <c r="F1" s="455"/>
      <c r="G1" s="455"/>
      <c r="H1" s="455"/>
      <c r="I1" s="455"/>
      <c r="J1" s="455"/>
      <c r="K1" s="455"/>
    </row>
    <row r="2" spans="1:11" ht="15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</row>
    <row r="3" spans="1:15" ht="15">
      <c r="A3" s="641" t="s">
        <v>169</v>
      </c>
      <c r="B3" s="641"/>
      <c r="C3" s="641"/>
      <c r="D3" s="641"/>
      <c r="E3" s="641"/>
      <c r="F3" s="641"/>
      <c r="G3" s="641"/>
      <c r="H3" s="455"/>
      <c r="I3" s="13"/>
      <c r="J3" s="13" t="s">
        <v>169</v>
      </c>
      <c r="K3" s="13"/>
      <c r="L3" s="13"/>
      <c r="M3" s="13" t="s">
        <v>169</v>
      </c>
      <c r="O3" s="13"/>
    </row>
    <row r="4" spans="1:13" ht="15">
      <c r="A4" s="504" t="s">
        <v>48</v>
      </c>
      <c r="B4" s="642" t="s">
        <v>49</v>
      </c>
      <c r="C4" s="642"/>
      <c r="D4" s="642"/>
      <c r="E4" s="642"/>
      <c r="F4" s="642"/>
      <c r="G4" s="642"/>
      <c r="H4" s="455"/>
      <c r="I4" s="455"/>
      <c r="J4" s="455"/>
      <c r="K4" s="455"/>
      <c r="L4" s="455"/>
      <c r="M4" s="455"/>
    </row>
    <row r="5" spans="1:15" ht="15">
      <c r="A5" s="457"/>
      <c r="B5" s="632">
        <v>1000</v>
      </c>
      <c r="C5" s="632"/>
      <c r="D5" s="632">
        <v>1500</v>
      </c>
      <c r="E5" s="632"/>
      <c r="F5" s="633">
        <v>9999</v>
      </c>
      <c r="G5" s="633"/>
      <c r="H5" s="455"/>
      <c r="I5" s="636" t="s">
        <v>214</v>
      </c>
      <c r="J5" s="637"/>
      <c r="K5" s="638"/>
      <c r="L5" s="13"/>
      <c r="M5" s="634" t="s">
        <v>215</v>
      </c>
      <c r="N5" s="635"/>
      <c r="O5" s="635"/>
    </row>
    <row r="6" spans="1:15" ht="15">
      <c r="A6" s="457"/>
      <c r="B6" s="458" t="s">
        <v>50</v>
      </c>
      <c r="C6" s="458" t="s">
        <v>51</v>
      </c>
      <c r="D6" s="458" t="s">
        <v>50</v>
      </c>
      <c r="E6" s="458" t="s">
        <v>51</v>
      </c>
      <c r="F6" s="458" t="s">
        <v>50</v>
      </c>
      <c r="G6" s="459" t="s">
        <v>51</v>
      </c>
      <c r="H6" s="455"/>
      <c r="I6" s="465">
        <v>1</v>
      </c>
      <c r="J6" s="465"/>
      <c r="K6" s="466">
        <v>0.0016</v>
      </c>
      <c r="L6" s="13"/>
      <c r="M6" s="465">
        <v>1</v>
      </c>
      <c r="N6" s="465"/>
      <c r="O6" s="466">
        <v>0.0019</v>
      </c>
    </row>
    <row r="7" spans="1:15" ht="15">
      <c r="A7" s="457">
        <v>0</v>
      </c>
      <c r="B7" s="460">
        <v>3.127</v>
      </c>
      <c r="C7" s="460">
        <v>3.039</v>
      </c>
      <c r="D7" s="460">
        <v>3.283</v>
      </c>
      <c r="E7" s="460">
        <v>3.191</v>
      </c>
      <c r="F7" s="460">
        <v>3.44</v>
      </c>
      <c r="G7" s="461">
        <v>3.343</v>
      </c>
      <c r="H7" s="455"/>
      <c r="I7" s="465">
        <v>2</v>
      </c>
      <c r="J7" s="465"/>
      <c r="K7" s="466">
        <v>0.0018</v>
      </c>
      <c r="L7" s="13"/>
      <c r="M7" s="465">
        <v>2</v>
      </c>
      <c r="N7" s="465"/>
      <c r="O7" s="466">
        <v>0.0022</v>
      </c>
    </row>
    <row r="8" spans="1:15" ht="15">
      <c r="A8" s="457">
        <v>6</v>
      </c>
      <c r="B8" s="460">
        <v>3.283</v>
      </c>
      <c r="C8" s="460">
        <v>3.191</v>
      </c>
      <c r="D8" s="460">
        <v>3.447</v>
      </c>
      <c r="E8" s="460">
        <v>3.351</v>
      </c>
      <c r="F8" s="460">
        <v>3.612</v>
      </c>
      <c r="G8" s="461">
        <v>3.51</v>
      </c>
      <c r="H8" s="455"/>
      <c r="I8" s="465">
        <v>3</v>
      </c>
      <c r="J8" s="465"/>
      <c r="K8" s="466">
        <v>0.0021</v>
      </c>
      <c r="L8" s="13"/>
      <c r="M8" s="465">
        <v>3</v>
      </c>
      <c r="N8" s="465"/>
      <c r="O8" s="466">
        <v>0.0025</v>
      </c>
    </row>
    <row r="9" spans="1:15" ht="15">
      <c r="A9" s="457">
        <v>11</v>
      </c>
      <c r="B9" s="460">
        <v>3.362</v>
      </c>
      <c r="C9" s="460">
        <v>3.267</v>
      </c>
      <c r="D9" s="460">
        <v>3.529</v>
      </c>
      <c r="E9" s="460">
        <v>3.43</v>
      </c>
      <c r="F9" s="460">
        <v>3.698</v>
      </c>
      <c r="G9" s="461">
        <v>3.594</v>
      </c>
      <c r="H9" s="455"/>
      <c r="I9" s="465">
        <v>4</v>
      </c>
      <c r="J9" s="465"/>
      <c r="K9" s="466">
        <v>0.0025</v>
      </c>
      <c r="L9" s="13"/>
      <c r="M9" s="465">
        <v>4</v>
      </c>
      <c r="N9" s="465"/>
      <c r="O9" s="466">
        <v>0.003</v>
      </c>
    </row>
    <row r="10" spans="1:15" ht="15">
      <c r="A10" s="457"/>
      <c r="B10" s="633" t="s">
        <v>52</v>
      </c>
      <c r="C10" s="633"/>
      <c r="D10" s="633"/>
      <c r="E10" s="633"/>
      <c r="F10" s="633"/>
      <c r="G10" s="633"/>
      <c r="H10" s="455"/>
      <c r="I10" s="465">
        <v>5</v>
      </c>
      <c r="J10" s="465"/>
      <c r="K10" s="466">
        <v>0.003</v>
      </c>
      <c r="L10" s="13"/>
      <c r="M10" s="465">
        <v>5</v>
      </c>
      <c r="N10" s="465"/>
      <c r="O10" s="466">
        <v>0.0037</v>
      </c>
    </row>
    <row r="11" spans="1:15" ht="15">
      <c r="A11" s="457"/>
      <c r="B11" s="632">
        <v>1000</v>
      </c>
      <c r="C11" s="632"/>
      <c r="D11" s="632">
        <v>1500</v>
      </c>
      <c r="E11" s="632"/>
      <c r="F11" s="633">
        <v>9999</v>
      </c>
      <c r="G11" s="633"/>
      <c r="H11" s="455"/>
      <c r="I11" s="465">
        <v>6</v>
      </c>
      <c r="J11" s="465"/>
      <c r="K11" s="466">
        <v>0.0018</v>
      </c>
      <c r="L11" s="13"/>
      <c r="M11" s="465">
        <v>6</v>
      </c>
      <c r="N11" s="465"/>
      <c r="O11" s="466">
        <v>0.0022</v>
      </c>
    </row>
    <row r="12" spans="1:13" ht="15">
      <c r="A12" s="457"/>
      <c r="B12" s="458" t="s">
        <v>50</v>
      </c>
      <c r="C12" s="458" t="s">
        <v>51</v>
      </c>
      <c r="D12" s="458" t="s">
        <v>50</v>
      </c>
      <c r="E12" s="458" t="s">
        <v>51</v>
      </c>
      <c r="F12" s="458" t="s">
        <v>50</v>
      </c>
      <c r="G12" s="459" t="s">
        <v>51</v>
      </c>
      <c r="H12" s="455"/>
      <c r="I12" s="455"/>
      <c r="J12" s="455"/>
      <c r="K12" s="455"/>
      <c r="L12" s="13"/>
      <c r="M12" s="13"/>
    </row>
    <row r="13" spans="1:11" ht="15">
      <c r="A13" s="457">
        <v>0</v>
      </c>
      <c r="B13" s="503">
        <v>1850</v>
      </c>
      <c r="C13" s="503">
        <v>1850</v>
      </c>
      <c r="D13" s="503">
        <v>2863</v>
      </c>
      <c r="E13" s="503">
        <v>2863</v>
      </c>
      <c r="F13" s="503">
        <v>7890</v>
      </c>
      <c r="G13" s="503">
        <v>7890</v>
      </c>
      <c r="H13" s="455"/>
      <c r="I13" s="455"/>
      <c r="J13" s="455"/>
      <c r="K13" s="455"/>
    </row>
    <row r="14" spans="1:11" ht="15">
      <c r="A14" s="457">
        <v>6</v>
      </c>
      <c r="B14" s="503">
        <v>1850</v>
      </c>
      <c r="C14" s="503">
        <v>1850</v>
      </c>
      <c r="D14" s="503">
        <v>2863</v>
      </c>
      <c r="E14" s="503">
        <v>2863</v>
      </c>
      <c r="F14" s="503">
        <v>7890</v>
      </c>
      <c r="G14" s="503">
        <v>7890</v>
      </c>
      <c r="H14" s="455"/>
      <c r="I14" s="455"/>
      <c r="J14" s="455"/>
      <c r="K14" s="455"/>
    </row>
    <row r="15" spans="1:11" ht="15.75" thickBot="1">
      <c r="A15" s="462">
        <v>11</v>
      </c>
      <c r="B15" s="503">
        <v>1850</v>
      </c>
      <c r="C15" s="503">
        <v>1850</v>
      </c>
      <c r="D15" s="503">
        <v>2863</v>
      </c>
      <c r="E15" s="503">
        <v>2863</v>
      </c>
      <c r="F15" s="503">
        <v>7890</v>
      </c>
      <c r="G15" s="503">
        <v>7890</v>
      </c>
      <c r="H15" s="455"/>
      <c r="I15" s="455"/>
      <c r="J15" s="455"/>
      <c r="K15" s="455"/>
    </row>
    <row r="16" spans="1:11" ht="15.75" thickBot="1">
      <c r="A16" s="455"/>
      <c r="B16" s="455"/>
      <c r="C16" s="455"/>
      <c r="D16" s="455"/>
      <c r="E16" s="455"/>
      <c r="F16" s="455"/>
      <c r="G16" s="455"/>
      <c r="H16" s="455"/>
      <c r="I16" s="455"/>
      <c r="J16" s="455"/>
      <c r="K16" s="455"/>
    </row>
    <row r="17" spans="1:11" ht="15">
      <c r="A17" s="456" t="s">
        <v>53</v>
      </c>
      <c r="B17" s="639" t="s">
        <v>49</v>
      </c>
      <c r="C17" s="639"/>
      <c r="D17" s="640" t="s">
        <v>52</v>
      </c>
      <c r="E17" s="640"/>
      <c r="F17" s="455"/>
      <c r="G17" s="455"/>
      <c r="H17" s="455"/>
      <c r="I17" s="455" t="s">
        <v>59</v>
      </c>
      <c r="J17" s="455"/>
      <c r="K17" s="455"/>
    </row>
    <row r="18" spans="1:11" ht="15">
      <c r="A18" s="457"/>
      <c r="B18" s="458" t="s">
        <v>54</v>
      </c>
      <c r="C18" s="458" t="s">
        <v>55</v>
      </c>
      <c r="D18" s="458" t="s">
        <v>54</v>
      </c>
      <c r="E18" s="459" t="s">
        <v>55</v>
      </c>
      <c r="F18" s="455"/>
      <c r="G18" s="455"/>
      <c r="H18" s="455"/>
      <c r="I18" s="455">
        <v>0</v>
      </c>
      <c r="J18" s="455">
        <v>0</v>
      </c>
      <c r="K18" s="455"/>
    </row>
    <row r="19" spans="1:11" ht="15">
      <c r="A19" s="457" t="s">
        <v>56</v>
      </c>
      <c r="B19" s="463">
        <v>0.04</v>
      </c>
      <c r="C19" s="458"/>
      <c r="D19" s="458"/>
      <c r="E19" s="459"/>
      <c r="F19" s="455"/>
      <c r="G19" s="455"/>
      <c r="H19" s="455"/>
      <c r="I19" s="455">
        <v>2500</v>
      </c>
      <c r="J19" s="455">
        <f>MIN(750,20%*'Pvt.Car'!$D$15)</f>
        <v>750</v>
      </c>
      <c r="K19" s="455"/>
    </row>
    <row r="20" spans="1:11" ht="15">
      <c r="A20" s="457" t="s">
        <v>57</v>
      </c>
      <c r="B20" s="463">
        <v>0.04</v>
      </c>
      <c r="C20" s="458"/>
      <c r="D20" s="458"/>
      <c r="E20" s="459">
        <v>60</v>
      </c>
      <c r="F20" s="455"/>
      <c r="G20" s="455"/>
      <c r="H20" s="455"/>
      <c r="I20" s="455">
        <v>5000</v>
      </c>
      <c r="J20" s="455">
        <f>MIN(1500,25%*'Pvt.Car'!$D$15)</f>
        <v>1500</v>
      </c>
      <c r="K20" s="455"/>
    </row>
    <row r="21" spans="1:11" ht="15">
      <c r="A21" s="457" t="s">
        <v>58</v>
      </c>
      <c r="B21" s="464">
        <v>0.005</v>
      </c>
      <c r="C21" s="458">
        <v>50</v>
      </c>
      <c r="D21" s="458"/>
      <c r="E21" s="459"/>
      <c r="F21" s="455"/>
      <c r="G21" s="455"/>
      <c r="H21" s="455"/>
      <c r="I21" s="455">
        <v>7500</v>
      </c>
      <c r="J21" s="455">
        <f>MIN(2000,30%*'Pvt.Car'!$D$15)</f>
        <v>2000</v>
      </c>
      <c r="K21" s="455"/>
    </row>
    <row r="22" spans="1:11" ht="15">
      <c r="A22" s="457"/>
      <c r="B22" s="458"/>
      <c r="C22" s="458"/>
      <c r="D22" s="458"/>
      <c r="E22" s="459"/>
      <c r="F22" s="455"/>
      <c r="G22" s="455"/>
      <c r="H22" s="455"/>
      <c r="I22" s="455">
        <v>15000</v>
      </c>
      <c r="J22" s="455">
        <f>MIN(2500,35%*'Pvt.Car'!$D$15)</f>
        <v>2500</v>
      </c>
      <c r="K22" s="455"/>
    </row>
    <row r="23" spans="1:11" ht="15">
      <c r="A23" s="457" t="s">
        <v>60</v>
      </c>
      <c r="B23" s="458"/>
      <c r="C23" s="458">
        <v>400</v>
      </c>
      <c r="D23" s="458"/>
      <c r="E23" s="459">
        <v>100</v>
      </c>
      <c r="F23" s="455"/>
      <c r="G23" s="455"/>
      <c r="H23" s="455"/>
      <c r="I23" s="455"/>
      <c r="J23" s="455"/>
      <c r="K23" s="455"/>
    </row>
    <row r="24" spans="1:11" ht="15">
      <c r="A24" s="457" t="s">
        <v>61</v>
      </c>
      <c r="B24" s="463">
        <v>0.3</v>
      </c>
      <c r="C24" s="458"/>
      <c r="D24" s="458"/>
      <c r="E24" s="459"/>
      <c r="F24" s="455"/>
      <c r="G24" s="455"/>
      <c r="H24" s="455"/>
      <c r="I24" s="455"/>
      <c r="J24" s="455"/>
      <c r="K24" s="455"/>
    </row>
    <row r="25" spans="1:11" ht="15">
      <c r="A25" s="457" t="s">
        <v>62</v>
      </c>
      <c r="B25" s="464">
        <v>0.05</v>
      </c>
      <c r="C25" s="458">
        <v>50</v>
      </c>
      <c r="D25" s="458"/>
      <c r="E25" s="459"/>
      <c r="F25" s="455"/>
      <c r="G25" s="455"/>
      <c r="H25" s="455"/>
      <c r="I25" s="455"/>
      <c r="J25" s="455"/>
      <c r="K25" s="455"/>
    </row>
    <row r="26" spans="1:11" ht="15">
      <c r="A26" s="457" t="s">
        <v>63</v>
      </c>
      <c r="B26" s="458"/>
      <c r="C26" s="458"/>
      <c r="D26" s="458"/>
      <c r="E26" s="459">
        <v>100</v>
      </c>
      <c r="F26" s="455"/>
      <c r="G26" s="455"/>
      <c r="H26" s="455"/>
      <c r="I26" s="455"/>
      <c r="J26" s="455"/>
      <c r="K26" s="455"/>
    </row>
    <row r="27" spans="1:11" ht="15">
      <c r="A27" s="457" t="s">
        <v>64</v>
      </c>
      <c r="B27" s="458"/>
      <c r="C27" s="458"/>
      <c r="D27" s="458"/>
      <c r="E27" s="459">
        <v>50</v>
      </c>
      <c r="F27" s="455"/>
      <c r="G27" s="455"/>
      <c r="H27" s="455"/>
      <c r="I27" s="455"/>
      <c r="J27" s="455"/>
      <c r="K27" s="455"/>
    </row>
    <row r="28" spans="1:11" ht="15">
      <c r="A28" s="457" t="s">
        <v>65</v>
      </c>
      <c r="B28" s="458"/>
      <c r="C28" s="458"/>
      <c r="D28" s="458"/>
      <c r="E28" s="459">
        <v>50</v>
      </c>
      <c r="F28" s="455"/>
      <c r="G28" s="455"/>
      <c r="H28" s="455"/>
      <c r="I28" s="455"/>
      <c r="J28" s="455"/>
      <c r="K28" s="455"/>
    </row>
    <row r="29" spans="1:11" ht="15">
      <c r="A29" s="457"/>
      <c r="B29" s="458"/>
      <c r="C29" s="458"/>
      <c r="D29" s="458"/>
      <c r="E29" s="459"/>
      <c r="F29" s="455"/>
      <c r="G29" s="455"/>
      <c r="H29" s="455"/>
      <c r="I29" s="455"/>
      <c r="J29" s="455"/>
      <c r="K29" s="455"/>
    </row>
    <row r="30" spans="1:11" ht="15">
      <c r="A30" s="457"/>
      <c r="B30" s="458"/>
      <c r="C30" s="458"/>
      <c r="D30" s="458"/>
      <c r="E30" s="459"/>
      <c r="F30" s="455"/>
      <c r="G30" s="455"/>
      <c r="H30" s="455"/>
      <c r="I30" s="455"/>
      <c r="J30" s="455"/>
      <c r="K30" s="455"/>
    </row>
    <row r="31" spans="1:11" ht="15">
      <c r="A31" s="457"/>
      <c r="B31" s="458"/>
      <c r="C31" s="458"/>
      <c r="D31" s="458"/>
      <c r="E31" s="459"/>
      <c r="F31" s="455"/>
      <c r="G31" s="455"/>
      <c r="H31" s="455"/>
      <c r="I31" s="455"/>
      <c r="J31" s="455"/>
      <c r="K31" s="455"/>
    </row>
    <row r="32" spans="1:11" ht="15">
      <c r="A32" s="457" t="s">
        <v>66</v>
      </c>
      <c r="B32" s="458"/>
      <c r="C32" s="458"/>
      <c r="D32" s="458"/>
      <c r="E32" s="459"/>
      <c r="F32" s="455"/>
      <c r="G32" s="455"/>
      <c r="H32" s="455"/>
      <c r="I32" s="455"/>
      <c r="J32" s="455"/>
      <c r="K32" s="455"/>
    </row>
    <row r="33" spans="1:11" ht="15">
      <c r="A33" s="457" t="s">
        <v>67</v>
      </c>
      <c r="B33" s="458">
        <v>2.5</v>
      </c>
      <c r="C33" s="458">
        <v>500</v>
      </c>
      <c r="D33" s="458"/>
      <c r="E33" s="459"/>
      <c r="F33" s="455"/>
      <c r="G33" s="455"/>
      <c r="H33" s="455"/>
      <c r="I33" s="455"/>
      <c r="J33" s="455"/>
      <c r="K33" s="455"/>
    </row>
    <row r="34" spans="1:11" ht="15">
      <c r="A34" s="457" t="s">
        <v>68</v>
      </c>
      <c r="B34" s="458"/>
      <c r="C34" s="458"/>
      <c r="D34" s="458"/>
      <c r="E34" s="459">
        <v>100</v>
      </c>
      <c r="F34" s="455"/>
      <c r="G34" s="455"/>
      <c r="H34" s="455"/>
      <c r="I34" s="455"/>
      <c r="J34" s="455"/>
      <c r="K34" s="455"/>
    </row>
    <row r="35" spans="1:11" ht="15">
      <c r="A35" s="457" t="s">
        <v>69</v>
      </c>
      <c r="B35" s="463">
        <v>0.5</v>
      </c>
      <c r="C35" s="458"/>
      <c r="D35" s="458"/>
      <c r="E35" s="459"/>
      <c r="F35" s="455"/>
      <c r="G35" s="455"/>
      <c r="H35" s="455"/>
      <c r="I35" s="455"/>
      <c r="J35" s="455"/>
      <c r="K35" s="455"/>
    </row>
    <row r="36" spans="1:11" ht="15">
      <c r="A36" s="457" t="s">
        <v>70</v>
      </c>
      <c r="B36" s="464">
        <v>0.3333</v>
      </c>
      <c r="C36" s="458"/>
      <c r="D36" s="458"/>
      <c r="E36" s="459"/>
      <c r="F36" s="455"/>
      <c r="G36" s="455"/>
      <c r="H36" s="455"/>
      <c r="I36" s="455"/>
      <c r="J36" s="455"/>
      <c r="K36" s="455"/>
    </row>
    <row r="37" spans="1:11" ht="15">
      <c r="A37" s="457" t="s">
        <v>71</v>
      </c>
      <c r="B37" s="458" t="s">
        <v>55</v>
      </c>
      <c r="C37" s="458" t="s">
        <v>54</v>
      </c>
      <c r="D37" s="458" t="s">
        <v>72</v>
      </c>
      <c r="E37" s="459"/>
      <c r="F37" s="455"/>
      <c r="G37" s="455"/>
      <c r="H37" s="455"/>
      <c r="I37" s="455"/>
      <c r="J37" s="455"/>
      <c r="K37" s="455"/>
    </row>
    <row r="38" spans="1:11" ht="15">
      <c r="A38" s="457"/>
      <c r="B38" s="458">
        <v>2500</v>
      </c>
      <c r="C38" s="458">
        <v>20</v>
      </c>
      <c r="D38" s="458">
        <v>750</v>
      </c>
      <c r="E38" s="459"/>
      <c r="F38" s="455"/>
      <c r="G38" s="455"/>
      <c r="H38" s="455"/>
      <c r="I38" s="455"/>
      <c r="J38" s="455"/>
      <c r="K38" s="455"/>
    </row>
    <row r="39" spans="1:11" ht="15">
      <c r="A39" s="457"/>
      <c r="B39" s="458">
        <v>5000</v>
      </c>
      <c r="C39" s="458">
        <v>25</v>
      </c>
      <c r="D39" s="458">
        <v>1500</v>
      </c>
      <c r="E39" s="459"/>
      <c r="F39" s="455"/>
      <c r="G39" s="455"/>
      <c r="H39" s="455"/>
      <c r="I39" s="455"/>
      <c r="J39" s="455"/>
      <c r="K39" s="455"/>
    </row>
    <row r="40" spans="1:11" ht="15">
      <c r="A40" s="457"/>
      <c r="B40" s="458">
        <v>7500</v>
      </c>
      <c r="C40" s="458">
        <v>30</v>
      </c>
      <c r="D40" s="458">
        <v>2000</v>
      </c>
      <c r="E40" s="459"/>
      <c r="F40" s="455"/>
      <c r="G40" s="455"/>
      <c r="H40" s="455"/>
      <c r="I40" s="455"/>
      <c r="J40" s="455"/>
      <c r="K40" s="455"/>
    </row>
    <row r="41" spans="1:11" ht="15">
      <c r="A41" s="457"/>
      <c r="B41" s="458">
        <v>15000</v>
      </c>
      <c r="C41" s="458">
        <v>35</v>
      </c>
      <c r="D41" s="458">
        <v>2500</v>
      </c>
      <c r="E41" s="459"/>
      <c r="F41" s="455"/>
      <c r="G41" s="455"/>
      <c r="H41" s="455"/>
      <c r="I41" s="455"/>
      <c r="J41" s="455"/>
      <c r="K41" s="455"/>
    </row>
    <row r="42" spans="1:11" ht="15">
      <c r="A42" s="455"/>
      <c r="B42" s="455"/>
      <c r="C42" s="455"/>
      <c r="D42" s="455"/>
      <c r="E42" s="455"/>
      <c r="F42" s="455"/>
      <c r="G42" s="455"/>
      <c r="H42" s="455"/>
      <c r="I42" s="455"/>
      <c r="J42" s="455"/>
      <c r="K42" s="455"/>
    </row>
    <row r="43" spans="1:11" ht="15">
      <c r="A43" s="455"/>
      <c r="B43" s="455"/>
      <c r="C43" s="455"/>
      <c r="D43" s="455"/>
      <c r="E43" s="455"/>
      <c r="F43" s="455"/>
      <c r="G43" s="455"/>
      <c r="H43" s="455"/>
      <c r="I43" s="455"/>
      <c r="J43" s="455"/>
      <c r="K43" s="455"/>
    </row>
    <row r="44" spans="1:11" ht="15">
      <c r="A44" s="455"/>
      <c r="B44" s="455"/>
      <c r="C44" s="455"/>
      <c r="D44" s="455"/>
      <c r="E44" s="455"/>
      <c r="F44" s="455"/>
      <c r="G44" s="455"/>
      <c r="H44" s="455"/>
      <c r="I44" s="455"/>
      <c r="J44" s="455"/>
      <c r="K44" s="455"/>
    </row>
    <row r="45" spans="1:11" ht="15">
      <c r="A45" s="455"/>
      <c r="B45" s="455"/>
      <c r="C45" s="455"/>
      <c r="D45" s="455"/>
      <c r="E45" s="455"/>
      <c r="F45" s="455"/>
      <c r="G45" s="455"/>
      <c r="H45" s="455"/>
      <c r="I45" s="455"/>
      <c r="J45" s="455"/>
      <c r="K45" s="455"/>
    </row>
    <row r="46" spans="1:11" ht="15">
      <c r="A46" s="455"/>
      <c r="B46" s="455"/>
      <c r="C46" s="455"/>
      <c r="D46" s="455"/>
      <c r="E46" s="455"/>
      <c r="F46" s="455"/>
      <c r="G46" s="455"/>
      <c r="H46" s="455"/>
      <c r="I46" s="455"/>
      <c r="J46" s="455"/>
      <c r="K46" s="455"/>
    </row>
    <row r="47" spans="1:11" ht="15">
      <c r="A47" s="455"/>
      <c r="B47" s="455"/>
      <c r="C47" s="455"/>
      <c r="D47" s="455"/>
      <c r="E47" s="455"/>
      <c r="F47" s="455"/>
      <c r="G47" s="455"/>
      <c r="H47" s="455"/>
      <c r="I47" s="455"/>
      <c r="J47" s="455"/>
      <c r="K47" s="455"/>
    </row>
    <row r="48" spans="1:11" ht="15">
      <c r="A48" s="455"/>
      <c r="B48" s="455"/>
      <c r="C48" s="455"/>
      <c r="D48" s="455"/>
      <c r="E48" s="455"/>
      <c r="F48" s="455"/>
      <c r="G48" s="455"/>
      <c r="H48" s="455"/>
      <c r="I48" s="455"/>
      <c r="J48" s="455"/>
      <c r="K48" s="455"/>
    </row>
    <row r="49" spans="6:11" ht="15">
      <c r="F49" s="455"/>
      <c r="G49" s="455"/>
      <c r="H49" s="455"/>
      <c r="I49" s="455"/>
      <c r="J49" s="455"/>
      <c r="K49" s="455"/>
    </row>
    <row r="50" spans="6:11" ht="15">
      <c r="F50" s="455"/>
      <c r="G50" s="455"/>
      <c r="H50" s="455"/>
      <c r="I50" s="455"/>
      <c r="J50" s="455"/>
      <c r="K50" s="455"/>
    </row>
    <row r="51" spans="6:8" ht="15">
      <c r="F51" s="455"/>
      <c r="G51" s="455"/>
      <c r="H51" s="455"/>
    </row>
  </sheetData>
  <sheetProtection selectLockedCells="1" selectUnlockedCells="1"/>
  <mergeCells count="13">
    <mergeCell ref="A3:G3"/>
    <mergeCell ref="B4:G4"/>
    <mergeCell ref="B5:C5"/>
    <mergeCell ref="D5:E5"/>
    <mergeCell ref="F5:G5"/>
    <mergeCell ref="B10:G10"/>
    <mergeCell ref="B11:C11"/>
    <mergeCell ref="D11:E11"/>
    <mergeCell ref="F11:G11"/>
    <mergeCell ref="M5:O5"/>
    <mergeCell ref="I5:K5"/>
    <mergeCell ref="B17:C17"/>
    <mergeCell ref="D17:E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2">
      <selection activeCell="F36" sqref="F36"/>
    </sheetView>
  </sheetViews>
  <sheetFormatPr defaultColWidth="9.140625" defaultRowHeight="14.25" customHeight="1"/>
  <cols>
    <col min="1" max="1" width="30.7109375" style="95" customWidth="1"/>
    <col min="2" max="2" width="7.7109375" style="95" customWidth="1"/>
    <col min="3" max="3" width="10.57421875" style="95" customWidth="1"/>
    <col min="4" max="4" width="3.7109375" style="95" customWidth="1"/>
    <col min="5" max="5" width="26.421875" style="95" customWidth="1"/>
    <col min="6" max="6" width="9.7109375" style="95" customWidth="1"/>
    <col min="7" max="7" width="10.7109375" style="95" customWidth="1"/>
    <col min="8" max="8" width="3.57421875" style="95" customWidth="1"/>
    <col min="9" max="9" width="5.00390625" style="95" customWidth="1"/>
    <col min="10" max="10" width="8.57421875" style="95" customWidth="1"/>
    <col min="11" max="11" width="5.8515625" style="95" customWidth="1"/>
    <col min="12" max="12" width="28.00390625" style="95" customWidth="1"/>
    <col min="13" max="14" width="1.57421875" style="95" customWidth="1"/>
    <col min="15" max="15" width="2.57421875" style="95" customWidth="1"/>
    <col min="16" max="16" width="5.8515625" style="95" bestFit="1" customWidth="1"/>
    <col min="17" max="17" width="6.00390625" style="95" bestFit="1" customWidth="1"/>
    <col min="18" max="18" width="6.28125" style="95" customWidth="1"/>
    <col min="19" max="16384" width="9.140625" style="95" customWidth="1"/>
  </cols>
  <sheetData>
    <row r="1" spans="1:16" ht="14.25" customHeight="1">
      <c r="A1" s="643" t="s">
        <v>0</v>
      </c>
      <c r="B1" s="643"/>
      <c r="C1" s="643"/>
      <c r="D1" s="643"/>
      <c r="E1" s="643"/>
      <c r="F1" s="643"/>
      <c r="G1" s="643"/>
      <c r="P1" s="95" t="s">
        <v>73</v>
      </c>
    </row>
    <row r="2" spans="1:17" ht="14.25" customHeight="1">
      <c r="A2" s="644" t="s">
        <v>224</v>
      </c>
      <c r="B2" s="644"/>
      <c r="C2" s="644"/>
      <c r="D2" s="644"/>
      <c r="E2" s="644"/>
      <c r="F2" s="644"/>
      <c r="G2" s="644"/>
      <c r="I2" s="645" t="s">
        <v>27</v>
      </c>
      <c r="J2" s="645"/>
      <c r="P2" s="100">
        <f>C15-C28-C29+C16+C18</f>
        <v>8630</v>
      </c>
      <c r="Q2" s="100"/>
    </row>
    <row r="3" spans="1:10" ht="14.25" customHeight="1">
      <c r="A3" s="523" t="s">
        <v>235</v>
      </c>
      <c r="B3" s="649"/>
      <c r="C3" s="650"/>
      <c r="D3" s="650"/>
      <c r="E3" s="650"/>
      <c r="F3" s="650"/>
      <c r="G3" s="651"/>
      <c r="I3" s="645"/>
      <c r="J3" s="645"/>
    </row>
    <row r="4" spans="1:7" ht="14.25" customHeight="1">
      <c r="A4" s="523" t="s">
        <v>234</v>
      </c>
      <c r="B4" s="649"/>
      <c r="C4" s="650"/>
      <c r="D4" s="650"/>
      <c r="E4" s="650"/>
      <c r="F4" s="650"/>
      <c r="G4" s="651"/>
    </row>
    <row r="5" spans="1:9" ht="14.25" customHeight="1">
      <c r="A5" s="646" t="s">
        <v>76</v>
      </c>
      <c r="B5" s="646"/>
      <c r="C5" s="646"/>
      <c r="D5" s="646"/>
      <c r="E5" s="646"/>
      <c r="F5" s="646"/>
      <c r="G5" s="646"/>
      <c r="I5" s="95" t="s">
        <v>136</v>
      </c>
    </row>
    <row r="6" spans="1:7" ht="14.25" customHeight="1">
      <c r="A6" s="647" t="s">
        <v>134</v>
      </c>
      <c r="B6" s="647"/>
      <c r="C6" s="149">
        <v>1000000</v>
      </c>
      <c r="D6" s="150"/>
      <c r="E6" s="648" t="s">
        <v>80</v>
      </c>
      <c r="F6" s="648"/>
      <c r="G6" s="151">
        <v>2015</v>
      </c>
    </row>
    <row r="7" spans="1:16" s="98" customFormat="1" ht="14.25" customHeight="1">
      <c r="A7" s="647" t="s">
        <v>87</v>
      </c>
      <c r="B7" s="647"/>
      <c r="C7" s="149">
        <v>0</v>
      </c>
      <c r="D7" s="150"/>
      <c r="E7" s="648" t="s">
        <v>135</v>
      </c>
      <c r="F7" s="648"/>
      <c r="G7" s="151">
        <v>7000</v>
      </c>
      <c r="P7" s="95"/>
    </row>
    <row r="8" spans="1:16" s="104" customFormat="1" ht="14.25" customHeight="1">
      <c r="A8" s="647" t="s">
        <v>137</v>
      </c>
      <c r="B8" s="647"/>
      <c r="C8" s="149">
        <v>0</v>
      </c>
      <c r="D8" s="150"/>
      <c r="E8" s="652" t="s">
        <v>40</v>
      </c>
      <c r="F8" s="652"/>
      <c r="G8" s="152" t="s">
        <v>91</v>
      </c>
      <c r="P8" s="95"/>
    </row>
    <row r="9" spans="1:12" ht="14.25" customHeight="1">
      <c r="A9" s="653" t="s">
        <v>138</v>
      </c>
      <c r="B9" s="653"/>
      <c r="C9" s="653"/>
      <c r="D9" s="653"/>
      <c r="E9" s="653"/>
      <c r="F9" s="653"/>
      <c r="G9" s="653"/>
      <c r="I9" s="104"/>
      <c r="J9" s="104"/>
      <c r="K9" s="104"/>
      <c r="L9" s="104"/>
    </row>
    <row r="10" spans="1:12" ht="14.25" customHeight="1">
      <c r="A10" s="612" t="s">
        <v>83</v>
      </c>
      <c r="B10" s="612"/>
      <c r="C10" s="612"/>
      <c r="D10" s="654"/>
      <c r="E10" s="612" t="s">
        <v>84</v>
      </c>
      <c r="F10" s="612"/>
      <c r="G10" s="612"/>
      <c r="I10" s="104"/>
      <c r="J10" s="104"/>
      <c r="K10" s="104"/>
      <c r="L10" s="104"/>
    </row>
    <row r="11" spans="1:12" ht="14.25" customHeight="1">
      <c r="A11" s="153" t="s">
        <v>139</v>
      </c>
      <c r="B11" s="154"/>
      <c r="C11" s="155">
        <f>Database!$J$7</f>
        <v>17260</v>
      </c>
      <c r="D11" s="654"/>
      <c r="E11" s="647"/>
      <c r="F11" s="647"/>
      <c r="G11" s="647"/>
      <c r="I11" s="104"/>
      <c r="J11" s="104"/>
      <c r="K11" s="104"/>
      <c r="L11" s="104"/>
    </row>
    <row r="12" spans="1:12" ht="14.25" customHeight="1">
      <c r="A12" s="150" t="s">
        <v>140</v>
      </c>
      <c r="B12" s="154"/>
      <c r="C12" s="155">
        <f>C7*0.04</f>
        <v>0</v>
      </c>
      <c r="D12" s="654"/>
      <c r="E12" s="647" t="s">
        <v>46</v>
      </c>
      <c r="F12" s="647"/>
      <c r="G12" s="155">
        <f>Database!M2</f>
        <v>14390</v>
      </c>
      <c r="I12" s="104"/>
      <c r="J12" s="104"/>
      <c r="K12" s="104"/>
      <c r="L12" s="104"/>
    </row>
    <row r="13" spans="1:12" s="114" customFormat="1" ht="14.25" customHeight="1">
      <c r="A13" s="150" t="s">
        <v>141</v>
      </c>
      <c r="B13" s="154"/>
      <c r="C13" s="155">
        <f>Database!$J$8</f>
        <v>0</v>
      </c>
      <c r="D13" s="654"/>
      <c r="E13" s="156" t="s">
        <v>125</v>
      </c>
      <c r="F13" s="157" t="s">
        <v>88</v>
      </c>
      <c r="G13" s="158">
        <f>IF(F13="Yes",750,0)</f>
        <v>750</v>
      </c>
      <c r="I13" s="104"/>
      <c r="J13" s="104"/>
      <c r="K13" s="104"/>
      <c r="L13" s="104"/>
    </row>
    <row r="14" spans="1:12" ht="14.25" customHeight="1">
      <c r="A14" s="150" t="s">
        <v>142</v>
      </c>
      <c r="B14" s="154"/>
      <c r="C14" s="155">
        <f>IF(C8&gt;0,C8*0.04,0)</f>
        <v>0</v>
      </c>
      <c r="D14" s="654"/>
      <c r="E14" s="647" t="s">
        <v>142</v>
      </c>
      <c r="F14" s="647"/>
      <c r="G14" s="155">
        <f>IF(C8&gt;0,60,0)</f>
        <v>0</v>
      </c>
      <c r="I14" s="104"/>
      <c r="J14" s="104"/>
      <c r="K14" s="104"/>
      <c r="L14" s="104"/>
    </row>
    <row r="15" spans="1:12" ht="14.25" customHeight="1">
      <c r="A15" s="159" t="s">
        <v>92</v>
      </c>
      <c r="B15" s="160"/>
      <c r="C15" s="161">
        <f>SUM(C11:C13)</f>
        <v>17260</v>
      </c>
      <c r="D15" s="654"/>
      <c r="E15" s="659" t="s">
        <v>143</v>
      </c>
      <c r="F15" s="659"/>
      <c r="G15" s="161">
        <f>SUM(G12:G13)</f>
        <v>15140</v>
      </c>
      <c r="I15" s="104"/>
      <c r="J15" s="104"/>
      <c r="K15" s="104"/>
      <c r="L15" s="104"/>
    </row>
    <row r="16" spans="1:12" ht="14.25" customHeight="1">
      <c r="A16" s="150" t="s">
        <v>144</v>
      </c>
      <c r="B16" s="152" t="s">
        <v>35</v>
      </c>
      <c r="C16" s="155">
        <f>IF(B16="Yes",(SUM(C11:C13)+C14)*0.15,0)</f>
        <v>0</v>
      </c>
      <c r="D16" s="654"/>
      <c r="E16" s="153" t="s">
        <v>126</v>
      </c>
      <c r="F16" s="152" t="s">
        <v>88</v>
      </c>
      <c r="G16" s="155">
        <f>IF(F16="Yes",50*F17,0)</f>
        <v>200</v>
      </c>
      <c r="I16" s="104"/>
      <c r="J16" s="104"/>
      <c r="K16" s="104"/>
      <c r="L16" s="104"/>
    </row>
    <row r="17" spans="1:12" ht="14.25" customHeight="1">
      <c r="A17" s="153" t="s">
        <v>95</v>
      </c>
      <c r="B17" s="152" t="s">
        <v>35</v>
      </c>
      <c r="C17" s="162">
        <f>C6*A44/10</f>
        <v>0</v>
      </c>
      <c r="D17" s="654"/>
      <c r="E17" s="150" t="s">
        <v>145</v>
      </c>
      <c r="F17" s="152">
        <v>4</v>
      </c>
      <c r="G17" s="155"/>
      <c r="I17" s="104"/>
      <c r="J17" s="104"/>
      <c r="K17" s="104"/>
      <c r="L17" s="104"/>
    </row>
    <row r="18" spans="1:12" ht="14.25" customHeight="1">
      <c r="A18" s="150" t="s">
        <v>146</v>
      </c>
      <c r="B18" s="163">
        <v>0</v>
      </c>
      <c r="C18" s="155">
        <f>C15*B18</f>
        <v>0</v>
      </c>
      <c r="D18" s="654"/>
      <c r="E18" s="164" t="s">
        <v>147</v>
      </c>
      <c r="F18" s="152" t="s">
        <v>88</v>
      </c>
      <c r="G18" s="155">
        <f>IF(F18="Yes",75*F19,0)</f>
        <v>0</v>
      </c>
      <c r="I18" s="104"/>
      <c r="J18" s="104"/>
      <c r="K18" s="104"/>
      <c r="L18" s="104"/>
    </row>
    <row r="19" spans="1:12" s="114" customFormat="1" ht="14.25" customHeight="1">
      <c r="A19" s="150" t="s">
        <v>130</v>
      </c>
      <c r="B19" s="152" t="s">
        <v>35</v>
      </c>
      <c r="C19" s="155">
        <f>IF(B19="Yes",C15*0.6,0)</f>
        <v>0</v>
      </c>
      <c r="D19" s="654"/>
      <c r="E19" s="150" t="s">
        <v>148</v>
      </c>
      <c r="F19" s="152">
        <v>0</v>
      </c>
      <c r="G19" s="155"/>
      <c r="I19" s="104"/>
      <c r="J19" s="104"/>
      <c r="K19" s="104"/>
      <c r="L19" s="104"/>
    </row>
    <row r="20" spans="1:12" ht="14.25" customHeight="1">
      <c r="A20" s="150" t="s">
        <v>96</v>
      </c>
      <c r="B20" s="152" t="s">
        <v>35</v>
      </c>
      <c r="C20" s="155">
        <f>IF(B20="Yes",500,0)</f>
        <v>0</v>
      </c>
      <c r="D20" s="654"/>
      <c r="E20" s="153" t="s">
        <v>96</v>
      </c>
      <c r="F20" s="150"/>
      <c r="G20" s="162">
        <f>IF(B20="Yes",500,0)</f>
        <v>0</v>
      </c>
      <c r="I20" s="104"/>
      <c r="J20" s="104"/>
      <c r="K20" s="104"/>
      <c r="L20" s="104"/>
    </row>
    <row r="21" spans="1:12" ht="14.25" customHeight="1">
      <c r="A21" s="159" t="s">
        <v>131</v>
      </c>
      <c r="B21" s="160"/>
      <c r="C21" s="161">
        <f>SUM(C15:C19)</f>
        <v>17260</v>
      </c>
      <c r="D21" s="654"/>
      <c r="E21" s="159" t="s">
        <v>149</v>
      </c>
      <c r="F21" s="159"/>
      <c r="G21" s="161">
        <f>SUM(G15,G16,G18,G20)</f>
        <v>15340</v>
      </c>
      <c r="I21" s="104"/>
      <c r="J21" s="104"/>
      <c r="K21" s="104"/>
      <c r="L21" s="104"/>
    </row>
    <row r="22" spans="1:7" ht="14.25" customHeight="1">
      <c r="A22" s="150" t="s">
        <v>150</v>
      </c>
      <c r="B22" s="154"/>
      <c r="C22" s="155"/>
      <c r="D22" s="654"/>
      <c r="E22" s="150" t="s">
        <v>68</v>
      </c>
      <c r="F22" s="152">
        <v>750000</v>
      </c>
      <c r="G22" s="155">
        <f>IF(F22=750000,0,200)</f>
        <v>0</v>
      </c>
    </row>
    <row r="23" spans="1:10" ht="14.25" customHeight="1">
      <c r="A23" s="150" t="s">
        <v>67</v>
      </c>
      <c r="B23" s="152" t="s">
        <v>35</v>
      </c>
      <c r="C23" s="155">
        <f>IF(B23="Yes",MIN(C21*0.025,500),0)</f>
        <v>0</v>
      </c>
      <c r="D23" s="654"/>
      <c r="E23" s="150"/>
      <c r="F23" s="150"/>
      <c r="G23" s="150"/>
      <c r="J23" s="100"/>
    </row>
    <row r="24" spans="1:7" ht="14.25" customHeight="1">
      <c r="A24" s="150" t="s">
        <v>62</v>
      </c>
      <c r="B24" s="152" t="s">
        <v>35</v>
      </c>
      <c r="C24" s="165">
        <f>IF(B24="Yes",MIN(C21*0.05,200),0)</f>
        <v>0</v>
      </c>
      <c r="D24" s="654"/>
      <c r="E24" s="150"/>
      <c r="F24" s="154"/>
      <c r="G24" s="155"/>
    </row>
    <row r="25" spans="1:7" ht="14.25" customHeight="1">
      <c r="A25" s="150" t="s">
        <v>133</v>
      </c>
      <c r="B25" s="152" t="s">
        <v>35</v>
      </c>
      <c r="C25" s="155">
        <f>IF(B25="Yes",C21*(1/3),0)</f>
        <v>0</v>
      </c>
      <c r="D25" s="654"/>
      <c r="E25" s="150"/>
      <c r="F25" s="154"/>
      <c r="G25" s="155"/>
    </row>
    <row r="26" spans="1:7" ht="14.25" customHeight="1">
      <c r="A26" s="159" t="s">
        <v>151</v>
      </c>
      <c r="B26" s="166"/>
      <c r="C26" s="167">
        <f>C21-SUM(C23:C25)</f>
        <v>17260</v>
      </c>
      <c r="D26" s="654"/>
      <c r="E26" s="168"/>
      <c r="F26" s="166"/>
      <c r="G26" s="167"/>
    </row>
    <row r="27" spans="1:7" ht="14.25" customHeight="1">
      <c r="A27" s="150" t="s">
        <v>73</v>
      </c>
      <c r="B27" s="169">
        <v>0.2</v>
      </c>
      <c r="C27" s="155">
        <f>(C15+C16+C18-C28-C29)*B27</f>
        <v>1726</v>
      </c>
      <c r="D27" s="654"/>
      <c r="E27" s="170"/>
      <c r="F27" s="154"/>
      <c r="G27" s="155"/>
    </row>
    <row r="28" spans="1:7" ht="14.25" customHeight="1">
      <c r="A28" s="153" t="s">
        <v>108</v>
      </c>
      <c r="B28" s="163">
        <v>0.5</v>
      </c>
      <c r="C28" s="171">
        <f>(C15+C16)*B28</f>
        <v>8630</v>
      </c>
      <c r="D28" s="654"/>
      <c r="E28" s="170"/>
      <c r="F28" s="154"/>
      <c r="G28" s="155"/>
    </row>
    <row r="29" spans="1:7" ht="14.25" customHeight="1">
      <c r="A29" s="153" t="s">
        <v>197</v>
      </c>
      <c r="B29" s="163">
        <v>0</v>
      </c>
      <c r="C29" s="171">
        <f>C18*B29</f>
        <v>0</v>
      </c>
      <c r="D29" s="654"/>
      <c r="E29" s="170"/>
      <c r="F29" s="154"/>
      <c r="G29" s="155"/>
    </row>
    <row r="30" spans="1:7" ht="14.25" customHeight="1">
      <c r="A30" s="659" t="s">
        <v>109</v>
      </c>
      <c r="B30" s="659"/>
      <c r="C30" s="172">
        <f>C26-(C27+C28+C29)</f>
        <v>6904</v>
      </c>
      <c r="D30" s="654"/>
      <c r="E30" s="659" t="s">
        <v>110</v>
      </c>
      <c r="F30" s="659"/>
      <c r="G30" s="161">
        <f>G21-G22</f>
        <v>15340</v>
      </c>
    </row>
    <row r="31" spans="1:7" ht="14.25" customHeight="1">
      <c r="A31" s="115"/>
      <c r="B31" s="116"/>
      <c r="C31" s="115"/>
      <c r="D31" s="115"/>
      <c r="E31" s="117"/>
      <c r="F31" s="115"/>
      <c r="G31" s="118"/>
    </row>
    <row r="32" spans="1:4" ht="14.25" customHeight="1">
      <c r="A32" s="115"/>
      <c r="B32" s="115"/>
      <c r="C32" s="115"/>
      <c r="D32" s="115"/>
    </row>
    <row r="33" spans="1:7" ht="14.25" customHeight="1">
      <c r="A33" s="598" t="s">
        <v>201</v>
      </c>
      <c r="B33" s="660"/>
      <c r="C33" s="647"/>
      <c r="D33" s="647"/>
      <c r="E33" s="173" t="s">
        <v>111</v>
      </c>
      <c r="F33" s="174" t="s">
        <v>112</v>
      </c>
      <c r="G33" s="175" t="s">
        <v>36</v>
      </c>
    </row>
    <row r="34" spans="1:8" ht="14.25" customHeight="1">
      <c r="A34" s="598"/>
      <c r="B34" s="594" t="s">
        <v>113</v>
      </c>
      <c r="C34" s="595"/>
      <c r="D34" s="595"/>
      <c r="E34" s="176">
        <f>C30</f>
        <v>6904</v>
      </c>
      <c r="F34" s="162">
        <f>G30</f>
        <v>15340</v>
      </c>
      <c r="G34" s="177">
        <f>E34+F34</f>
        <v>22244</v>
      </c>
      <c r="H34" s="94"/>
    </row>
    <row r="35" spans="1:8" ht="14.25" customHeight="1">
      <c r="A35" s="598"/>
      <c r="B35" s="655" t="s">
        <v>209</v>
      </c>
      <c r="C35" s="656"/>
      <c r="D35" s="656"/>
      <c r="E35" s="178">
        <f>E34*HyperLink!B21</f>
        <v>1242.72</v>
      </c>
      <c r="F35" s="178">
        <f>F34*HyperLink!B21</f>
        <v>2761.2</v>
      </c>
      <c r="G35" s="178">
        <f>G34*HyperLink!B21</f>
        <v>4003.92</v>
      </c>
      <c r="H35" s="94"/>
    </row>
    <row r="36" spans="1:7" ht="14.25" customHeight="1">
      <c r="A36" s="598"/>
      <c r="B36" s="657" t="s">
        <v>152</v>
      </c>
      <c r="C36" s="658"/>
      <c r="D36" s="658"/>
      <c r="E36" s="179">
        <f>SUM(E34:E35)</f>
        <v>8146.72</v>
      </c>
      <c r="F36" s="179">
        <f>SUM(F34:F35)</f>
        <v>18101.2</v>
      </c>
      <c r="G36" s="179">
        <f>SUM(G34:G35)</f>
        <v>26247.92</v>
      </c>
    </row>
    <row r="37" spans="1:7" ht="14.25" customHeight="1">
      <c r="A37" s="94"/>
      <c r="B37" s="94"/>
      <c r="C37" s="94"/>
      <c r="D37" s="94"/>
      <c r="E37" s="94"/>
      <c r="F37" s="94"/>
      <c r="G37" s="94"/>
    </row>
    <row r="38" ht="14.25" customHeight="1">
      <c r="E38" s="119"/>
    </row>
    <row r="41" ht="14.25" hidden="1"/>
    <row r="42" ht="14.25" hidden="1"/>
    <row r="43" spans="1:2" ht="26.25" customHeight="1">
      <c r="A43" s="91" t="s">
        <v>54</v>
      </c>
      <c r="B43" s="91" t="s">
        <v>119</v>
      </c>
    </row>
    <row r="44" spans="1:2" ht="14.25" customHeight="1">
      <c r="A44" s="91" t="b">
        <f>IF(B17="Yes",IF(B44=0,4.5%,IF(B44=1,5.5%,IF(B44=2,7%,0))))</f>
        <v>0</v>
      </c>
      <c r="B44" s="93">
        <f ca="1">YEAR(TODAY())-(G6)</f>
        <v>3</v>
      </c>
    </row>
  </sheetData>
  <sheetProtection password="CEED" sheet="1"/>
  <mergeCells count="27">
    <mergeCell ref="B35:D35"/>
    <mergeCell ref="B36:D36"/>
    <mergeCell ref="E14:F14"/>
    <mergeCell ref="E15:F15"/>
    <mergeCell ref="A30:B30"/>
    <mergeCell ref="E30:F30"/>
    <mergeCell ref="B33:D33"/>
    <mergeCell ref="B34:D34"/>
    <mergeCell ref="A33:A36"/>
    <mergeCell ref="A7:B7"/>
    <mergeCell ref="E7:F7"/>
    <mergeCell ref="A8:B8"/>
    <mergeCell ref="E8:F8"/>
    <mergeCell ref="A9:G9"/>
    <mergeCell ref="A10:C10"/>
    <mergeCell ref="D10:D30"/>
    <mergeCell ref="E10:G10"/>
    <mergeCell ref="E11:G11"/>
    <mergeCell ref="E12:F12"/>
    <mergeCell ref="A1:G1"/>
    <mergeCell ref="A2:G2"/>
    <mergeCell ref="I2:J3"/>
    <mergeCell ref="A5:G5"/>
    <mergeCell ref="A6:B6"/>
    <mergeCell ref="E6:F6"/>
    <mergeCell ref="B3:G3"/>
    <mergeCell ref="B4:G4"/>
  </mergeCells>
  <dataValidations count="6">
    <dataValidation allowBlank="1" showErrorMessage="1" sqref="B28:B29">
      <formula1>0</formula1>
      <formula2>0</formula2>
    </dataValidation>
    <dataValidation type="list" allowBlank="1" showErrorMessage="1" sqref="F22">
      <formula1>"750000,6000"</formula1>
      <formula2>0</formula2>
    </dataValidation>
    <dataValidation type="list" allowBlank="1" showErrorMessage="1" sqref="F13 B23:B25 B19:B20 F18 F16 B16:B17">
      <formula1>"Yes,No"</formula1>
      <formula2>0</formula2>
    </dataValidation>
    <dataValidation type="list" allowBlank="1" showErrorMessage="1" sqref="B27">
      <formula1>"0%,20%,25%,35%,45%,50%,"</formula1>
      <formula2>0</formula2>
    </dataValidation>
    <dataValidation type="list" allowBlank="1" showErrorMessage="1" sqref="B18">
      <formula1>"0%,15%,25%,35%,"</formula1>
    </dataValidation>
    <dataValidation type="list" allowBlank="1" showErrorMessage="1" sqref="G8">
      <formula1>"A,B,C"</formula1>
      <formula2>0</formula2>
    </dataValidation>
  </dataValidations>
  <hyperlinks>
    <hyperlink ref="I2" location="HyperLink!A1" display="BACK"/>
  </hyperlinks>
  <printOptions/>
  <pageMargins left="0.32013888888888886" right="0.12013888888888889" top="0.9840277777777777" bottom="0.679861111111111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jmp2599</dc:creator>
  <cp:keywords/>
  <dc:description/>
  <cp:lastModifiedBy>Servb</cp:lastModifiedBy>
  <cp:lastPrinted>2018-04-01T08:10:17Z</cp:lastPrinted>
  <dcterms:created xsi:type="dcterms:W3CDTF">2016-12-19T15:36:28Z</dcterms:created>
  <dcterms:modified xsi:type="dcterms:W3CDTF">2018-10-09T05:13:10Z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