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tabRatio="869" activeTab="14"/>
  </bookViews>
  <sheets>
    <sheet name="HyperLink" sheetId="1" r:id="rId1"/>
    <sheet name="NCB" sheetId="2" r:id="rId2"/>
    <sheet name="2 Wheeler" sheetId="3" r:id="rId3"/>
    <sheet name="MCCAL" sheetId="4" state="hidden" r:id="rId4"/>
    <sheet name="MCT" sheetId="5" state="hidden" r:id="rId5"/>
    <sheet name="Pvt.Car" sheetId="6" r:id="rId6"/>
    <sheet name="CART" sheetId="7" state="hidden" r:id="rId7"/>
    <sheet name="CART3" sheetId="8" state="hidden" r:id="rId8"/>
    <sheet name="CARCAL3" sheetId="9" state="hidden" r:id="rId9"/>
    <sheet name="Pvt.Car3 bundle " sheetId="10" r:id="rId10"/>
    <sheet name="CARCAL" sheetId="11" state="hidden" r:id="rId11"/>
    <sheet name="GCCV_Public" sheetId="12" r:id="rId12"/>
    <sheet name="GCCV_Private" sheetId="13" r:id="rId13"/>
    <sheet name="GCCV 3W Public" sheetId="14" r:id="rId14"/>
    <sheet name="GCCV 3W Private" sheetId="15" r:id="rId15"/>
    <sheet name="PCCVT" sheetId="16" state="hidden" r:id="rId16"/>
    <sheet name="PCCV 3W up to 6 P" sheetId="17" r:id="rId17"/>
    <sheet name="PCCV 4W Up To 6 P" sheetId="18" r:id="rId18"/>
    <sheet name="PCCV 3W 7 TO 17 P" sheetId="19" r:id="rId19"/>
    <sheet name="PCCV 3W exceed  18" sheetId="20" r:id="rId20"/>
    <sheet name="PCCV Maxi &amp; Bus" sheetId="21" r:id="rId21"/>
    <sheet name="PCCV School Bus" sheetId="22" r:id="rId22"/>
    <sheet name="Misc  Class D" sheetId="23" r:id="rId23"/>
    <sheet name="Database" sheetId="24" state="hidden" r:id="rId24"/>
    <sheet name="PCCVCAL" sheetId="25" state="hidden" r:id="rId25"/>
    <sheet name="Database1" sheetId="26" state="hidden" r:id="rId26"/>
    <sheet name="Database2" sheetId="27" state="hidden" r:id="rId27"/>
    <sheet name="Database3" sheetId="28" state="hidden" r:id="rId28"/>
    <sheet name="Database 2" sheetId="29" state="hidden" r:id="rId29"/>
  </sheets>
  <definedNames>
    <definedName name="_xlnm.Print_Area" localSheetId="2">'2 Wheeler'!$A$1:$G$39</definedName>
    <definedName name="_xlnm.Print_Area" localSheetId="14">'GCCV 3W Private'!$A$1:$G$36</definedName>
    <definedName name="_xlnm.Print_Area" localSheetId="13">'GCCV 3W Public'!$A$1:$G$36</definedName>
    <definedName name="_xlnm.Print_Area" localSheetId="12">'GCCV_Private'!$A$1:$H$37</definedName>
    <definedName name="_xlnm.Print_Area" localSheetId="11">'GCCV_Public'!$A$1:$H$36</definedName>
    <definedName name="_xlnm.Print_Area" localSheetId="22">'Misc  Class D'!$A$1:$G$36</definedName>
    <definedName name="_xlnm.Print_Area" localSheetId="16">'PCCV 3W up to 6 P'!$A$1:$G$38</definedName>
    <definedName name="_xlnm.Print_Area" localSheetId="20">'PCCV Maxi &amp; Bus'!$A$1:$G$35</definedName>
    <definedName name="_xlnm.Print_Area" localSheetId="21">'PCCV School Bus'!$A$1:$G$35</definedName>
    <definedName name="_xlnm.Print_Area" localSheetId="5">'Pvt.Car'!$A$1:$H$39</definedName>
    <definedName name="_xlnm.Print_Area" localSheetId="9">'Pvt.Car3 bundle '!$A$1:$H$39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G18" authorId="0">
      <text>
        <r>
          <rPr>
            <b/>
            <sz val="8"/>
            <color indexed="8"/>
            <rFont val="Times New Roman"/>
            <family val="1"/>
          </rPr>
          <t xml:space="preserve">No Of Seats
</t>
        </r>
      </text>
    </comment>
    <comment ref="G21" authorId="0">
      <text>
        <r>
          <rPr>
            <b/>
            <sz val="8"/>
            <color indexed="8"/>
            <rFont val="Times New Roman"/>
            <family val="1"/>
          </rPr>
          <t xml:space="preserve">No of Drivers/Employees
</t>
        </r>
      </text>
    </comment>
    <comment ref="H21" authorId="0">
      <text>
        <r>
          <rPr>
            <b/>
            <sz val="8"/>
            <color indexed="8"/>
            <rFont val="Times New Roman"/>
            <family val="1"/>
          </rPr>
          <t xml:space="preserve">Limit Per Person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F17" authorId="0">
      <text>
        <r>
          <rPr>
            <b/>
            <sz val="8"/>
            <color indexed="8"/>
            <rFont val="Times New Roman"/>
            <family val="1"/>
          </rPr>
          <t xml:space="preserve">Seating Capacity
</t>
        </r>
      </text>
    </comment>
    <comment ref="F20" authorId="0">
      <text>
        <r>
          <rPr>
            <b/>
            <sz val="8"/>
            <color indexed="8"/>
            <rFont val="Times New Roman"/>
            <family val="1"/>
          </rPr>
          <t xml:space="preserve">No of Drivers/Employees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14" authorId="0">
      <text>
        <r>
          <rPr>
            <b/>
            <sz val="8"/>
            <color indexed="8"/>
            <rFont val="Times New Roman"/>
            <family val="1"/>
          </rPr>
          <t xml:space="preserve">Yes/No option in OD side.
</t>
        </r>
      </text>
    </comment>
    <comment ref="F18" authorId="0">
      <text>
        <r>
          <rPr>
            <b/>
            <sz val="8"/>
            <color indexed="8"/>
            <rFont val="Times New Roman"/>
            <family val="1"/>
          </rPr>
          <t xml:space="preserve">No of Pax to be covered
</t>
        </r>
      </text>
    </comment>
    <comment ref="G18" authorId="0">
      <text>
        <r>
          <rPr>
            <b/>
            <sz val="8"/>
            <color indexed="8"/>
            <rFont val="Times New Roman"/>
            <family val="1"/>
          </rPr>
          <t xml:space="preserve">PA limit per Person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G18" authorId="0">
      <text>
        <r>
          <rPr>
            <b/>
            <sz val="8"/>
            <color indexed="8"/>
            <rFont val="Times New Roman"/>
            <family val="1"/>
          </rPr>
          <t xml:space="preserve">No Of Seats
</t>
        </r>
      </text>
    </comment>
    <comment ref="G21" authorId="0">
      <text>
        <r>
          <rPr>
            <b/>
            <sz val="8"/>
            <color indexed="8"/>
            <rFont val="Times New Roman"/>
            <family val="1"/>
          </rPr>
          <t xml:space="preserve">No of Drivers/Employees
</t>
        </r>
      </text>
    </comment>
    <comment ref="H21" authorId="0">
      <text>
        <r>
          <rPr>
            <b/>
            <sz val="8"/>
            <color indexed="8"/>
            <rFont val="Times New Roman"/>
            <family val="1"/>
          </rPr>
          <t xml:space="preserve">Limit Per Person
</t>
        </r>
      </text>
    </comment>
  </commentList>
</comments>
</file>

<file path=xl/sharedStrings.xml><?xml version="1.0" encoding="utf-8"?>
<sst xmlns="http://schemas.openxmlformats.org/spreadsheetml/2006/main" count="1463" uniqueCount="247">
  <si>
    <t>THE ORIENTAL INSURANCE COMPANY LIMITED</t>
  </si>
  <si>
    <t>How to use this Motor Premium calculator?</t>
  </si>
  <si>
    <t>1. HYPER LINK</t>
  </si>
  <si>
    <t xml:space="preserve">CLICK &amp; GO TO  WORK SHEET. </t>
  </si>
  <si>
    <t>2. Vehicle Details</t>
  </si>
  <si>
    <t>Enter IDV,Elec.Acc., CNG Kit Value,Zone,CC &amp; Year of Mfg.</t>
  </si>
  <si>
    <t>3. Premium Calculation</t>
  </si>
  <si>
    <t>Select Yes or No, NCB %, Discount %, No of Persons etc.</t>
  </si>
  <si>
    <t>NCB RECOVERY</t>
  </si>
  <si>
    <t xml:space="preserve">2 WHEELER </t>
  </si>
  <si>
    <t>PRIVATE CAR</t>
  </si>
  <si>
    <t xml:space="preserve">PRIVATE CAR  3 YEAR </t>
  </si>
  <si>
    <t>GCCV PUBLIC CARRIER</t>
  </si>
  <si>
    <t>GCCV PRIVATE CARRIER</t>
  </si>
  <si>
    <t>GCCV 3W PUBLIC CARRIER</t>
  </si>
  <si>
    <t>GCCV 3W PRIVATE CARRIER</t>
  </si>
  <si>
    <t>PCCV 3W UP TO 6 PASSENGER</t>
  </si>
  <si>
    <t>PCCV  4 W UP TO 6 PASSENGER</t>
  </si>
  <si>
    <t>PCCV  3 W 7 TO 18  PASSENGER</t>
  </si>
  <si>
    <t>PCCV MAXI AND LUXARY BUS</t>
  </si>
  <si>
    <t>MISC CLASS - D VEHICLES</t>
  </si>
  <si>
    <t>CGST  9.00%       SGST  9.00%</t>
  </si>
  <si>
    <r>
      <t>Change Service Tax (</t>
    </r>
    <r>
      <rPr>
        <i/>
        <sz val="14"/>
        <color indexed="10"/>
        <rFont val="Times New Roman"/>
        <family val="1"/>
      </rPr>
      <t>Yellow Mark</t>
    </r>
    <r>
      <rPr>
        <i/>
        <sz val="14"/>
        <color indexed="12"/>
        <rFont val="Times New Roman"/>
        <family val="1"/>
      </rPr>
      <t>)as per revised Service Tax</t>
    </r>
  </si>
  <si>
    <t>CLICK &amp; start URL related Oriental Insurance</t>
  </si>
  <si>
    <t>http://www.orientalinsurance.org.in</t>
  </si>
  <si>
    <t>http://10.244.0.120:8011/psp/HRSPROD</t>
  </si>
  <si>
    <t>http://www.irdaonline.org/Index.htm</t>
  </si>
  <si>
    <t>THE ORIENTAL INSURANCE COMPANY LTD</t>
  </si>
  <si>
    <t>BACK</t>
  </si>
  <si>
    <t>NCB RECOVERY AT THE TIME OF TRANSFER OF OWNERSHIP</t>
  </si>
  <si>
    <t>NCB Amount</t>
  </si>
  <si>
    <t>Policy End Date</t>
  </si>
  <si>
    <t>Policy Transfer Date</t>
  </si>
  <si>
    <t>Number of Days</t>
  </si>
  <si>
    <t>NCB Recovery</t>
  </si>
  <si>
    <t>Transfer Fees</t>
  </si>
  <si>
    <t>Duplicate Certificate</t>
  </si>
  <si>
    <t>No</t>
  </si>
  <si>
    <t>TOTAL</t>
  </si>
  <si>
    <t>CGST  9.00% &amp; SGST 9.00%</t>
  </si>
  <si>
    <t>Total Premium</t>
  </si>
  <si>
    <r>
      <t xml:space="preserve">Note: Enter </t>
    </r>
    <r>
      <rPr>
        <i/>
        <sz val="12"/>
        <color indexed="10"/>
        <rFont val="Arial"/>
        <family val="2"/>
      </rPr>
      <t xml:space="preserve">NCB Amount </t>
    </r>
    <r>
      <rPr>
        <i/>
        <sz val="12"/>
        <rFont val="Arial"/>
        <family val="2"/>
      </rPr>
      <t>&amp;</t>
    </r>
    <r>
      <rPr>
        <i/>
        <sz val="12"/>
        <color indexed="10"/>
        <rFont val="Arial"/>
        <family val="2"/>
      </rPr>
      <t xml:space="preserve"> Policy Expiry Date</t>
    </r>
    <r>
      <rPr>
        <i/>
        <sz val="12"/>
        <rFont val="Arial"/>
        <family val="2"/>
      </rPr>
      <t>.NCB Recovery &amp; Transfer Fees with Service Tax calculate automaticaly.</t>
    </r>
  </si>
  <si>
    <t>J M Patel Business Center, Mahemdabad (Gujarat)  Mobile No: 09426585252</t>
  </si>
  <si>
    <t>BACK TO HYPERLINK</t>
  </si>
  <si>
    <t>Proposer's Name</t>
  </si>
  <si>
    <t>Address</t>
  </si>
  <si>
    <t>VEHICLE'S BASIC DETAILS</t>
  </si>
  <si>
    <t>Insured Declared Value</t>
  </si>
  <si>
    <t>Zone</t>
  </si>
  <si>
    <t>B</t>
  </si>
  <si>
    <t>Electrical Accessories value</t>
  </si>
  <si>
    <t>CC</t>
  </si>
  <si>
    <t>CNG IDV</t>
  </si>
  <si>
    <t>Year of Manufacture</t>
  </si>
  <si>
    <t>Cost of Accessories</t>
  </si>
  <si>
    <t>PREMIUM CALCULATION</t>
  </si>
  <si>
    <t>OWN DAMAGE</t>
  </si>
  <si>
    <t>THIRD PARTY/LIABILITY</t>
  </si>
  <si>
    <t>Basic ( MOT-CVR-001 )</t>
  </si>
  <si>
    <t>Basic TP  ( MOT-CVR-007 )</t>
  </si>
  <si>
    <t>Electrical Accessories</t>
  </si>
  <si>
    <r>
      <t xml:space="preserve">PA to Owner Driver </t>
    </r>
    <r>
      <rPr>
        <sz val="8"/>
        <rFont val="Arial"/>
        <family val="2"/>
      </rPr>
      <t>( RS.1500000/-</t>
    </r>
    <r>
      <rPr>
        <sz val="11"/>
        <rFont val="Arial"/>
        <family val="2"/>
      </rPr>
      <t>)</t>
    </r>
  </si>
  <si>
    <t>Yes</t>
  </si>
  <si>
    <t>CNG KIT (MOT-CVR-003)</t>
  </si>
  <si>
    <t>CNG Kit ( MOT-CVR-008 )</t>
  </si>
  <si>
    <t>Basic OD1</t>
  </si>
  <si>
    <t>Basic TP1</t>
  </si>
  <si>
    <t>Nil Depreciation</t>
  </si>
  <si>
    <r>
      <t>PA Pellion Rider</t>
    </r>
    <r>
      <rPr>
        <sz val="9"/>
        <rFont val="Arial"/>
        <family val="2"/>
      </rPr>
      <t>(MOT-CVR-018)</t>
    </r>
  </si>
  <si>
    <r>
      <t>Return to Invoice</t>
    </r>
    <r>
      <rPr>
        <sz val="8"/>
        <rFont val="Arial"/>
        <family val="2"/>
      </rPr>
      <t>(MOT-CVR-070</t>
    </r>
    <r>
      <rPr>
        <sz val="11"/>
        <rFont val="Arial"/>
        <family val="2"/>
      </rPr>
      <t>)</t>
    </r>
  </si>
  <si>
    <t>Geographical Area</t>
  </si>
  <si>
    <t>Rallies (No of days)</t>
  </si>
  <si>
    <t>Rallies</t>
  </si>
  <si>
    <t>Fiber Glass Tank OD - GR43</t>
  </si>
  <si>
    <t>Basic OD2</t>
  </si>
  <si>
    <t>Basic TP2</t>
  </si>
  <si>
    <t>Anti Theft Device</t>
  </si>
  <si>
    <t>Third Party Property Damage</t>
  </si>
  <si>
    <t>Handicap</t>
  </si>
  <si>
    <t>AAI</t>
  </si>
  <si>
    <r>
      <t>Own Premises</t>
    </r>
    <r>
      <rPr>
        <sz val="9"/>
        <rFont val="Arial"/>
        <family val="2"/>
      </rPr>
      <t xml:space="preserve"> OD-GR35-IMT13</t>
    </r>
  </si>
  <si>
    <t>Voluntary Excess</t>
  </si>
  <si>
    <t>Basic OD3</t>
  </si>
  <si>
    <t>Basic TP3</t>
  </si>
  <si>
    <t>NCB ( MOT-DIS-310 )</t>
  </si>
  <si>
    <t>OD Discount (MOT-DIS-IMT)</t>
  </si>
  <si>
    <t>Total OD Premium</t>
  </si>
  <si>
    <t>Total TP Premium</t>
  </si>
  <si>
    <t>Own Damage</t>
  </si>
  <si>
    <t xml:space="preserve">Act Only </t>
  </si>
  <si>
    <t>Total ( OD+TP)</t>
  </si>
  <si>
    <t>CGST &amp; SGST</t>
  </si>
  <si>
    <t>%</t>
  </si>
  <si>
    <t>Year</t>
  </si>
  <si>
    <t>Calculation of Basic OD</t>
  </si>
  <si>
    <t>Age</t>
  </si>
  <si>
    <t>Col Offset</t>
  </si>
  <si>
    <t>Basic OD</t>
  </si>
  <si>
    <t>Calculation Of Basic TP</t>
  </si>
  <si>
    <t>Basic TP</t>
  </si>
  <si>
    <t>Motor Cycle</t>
  </si>
  <si>
    <t>Basic</t>
  </si>
  <si>
    <t>OD</t>
  </si>
  <si>
    <t>A</t>
  </si>
  <si>
    <t>TP</t>
  </si>
  <si>
    <t>Addons</t>
  </si>
  <si>
    <t>Amt</t>
  </si>
  <si>
    <t>Electronic</t>
  </si>
  <si>
    <t>CNG</t>
  </si>
  <si>
    <t>Trailer</t>
  </si>
  <si>
    <t>voluntary excess</t>
  </si>
  <si>
    <t>Geao Area</t>
  </si>
  <si>
    <t>Embassy</t>
  </si>
  <si>
    <t>PA OD</t>
  </si>
  <si>
    <t>LL Driver</t>
  </si>
  <si>
    <t>LL Emp</t>
  </si>
  <si>
    <t>Less</t>
  </si>
  <si>
    <t>Anti Theft</t>
  </si>
  <si>
    <t>TPPD</t>
  </si>
  <si>
    <t>Own Use</t>
  </si>
  <si>
    <t>Vol Ded</t>
  </si>
  <si>
    <t>Max</t>
  </si>
  <si>
    <t>Engine Protect Cover Petrol</t>
  </si>
  <si>
    <t>Engine Protect Cover Diesel</t>
  </si>
  <si>
    <t>Pvt Car</t>
  </si>
  <si>
    <t>PETROL/CNG</t>
  </si>
  <si>
    <t>DIESEL</t>
  </si>
  <si>
    <t>BACK TO          HYPER LINK</t>
  </si>
  <si>
    <t>Name of Proposer</t>
  </si>
  <si>
    <t>Cubic Capacity</t>
  </si>
  <si>
    <t>Select Fuel for Engine Protect</t>
  </si>
  <si>
    <t>PETROL</t>
  </si>
  <si>
    <r>
      <t>Basic Own Damage</t>
    </r>
    <r>
      <rPr>
        <sz val="10"/>
        <rFont val="Arial"/>
        <family val="2"/>
      </rPr>
      <t>(MOT-CVR-001)</t>
    </r>
  </si>
  <si>
    <t>CNG Kit ( MOT-CVR-003 )</t>
  </si>
  <si>
    <t>CNG Kit( MOT-CVR-008)</t>
  </si>
  <si>
    <t>PA to Owner Driver</t>
  </si>
  <si>
    <t>LL Driver/Employee</t>
  </si>
  <si>
    <t>Return to Invoice(MOT-CVR-070)</t>
  </si>
  <si>
    <t>Nil Depreciation (MOT-CVR-150)</t>
  </si>
  <si>
    <t>PA to Passenger</t>
  </si>
  <si>
    <t>Fibre Glass Tank</t>
  </si>
  <si>
    <t>Driving Tuitions</t>
  </si>
  <si>
    <t>Basic OD 2</t>
  </si>
  <si>
    <t>Handicapt Vehicle</t>
  </si>
  <si>
    <t>Own Premises</t>
  </si>
  <si>
    <t>NCB</t>
  </si>
  <si>
    <t>ADD: CGST &amp; SGST</t>
  </si>
  <si>
    <t>.</t>
  </si>
  <si>
    <t>Insured's Declared Value</t>
  </si>
  <si>
    <t>Gross Vehicle Weight (Kgs.)</t>
  </si>
  <si>
    <t>CNG Kit Value</t>
  </si>
  <si>
    <t>C</t>
  </si>
  <si>
    <t>Premium Calculation</t>
  </si>
  <si>
    <t>Basic Own Damage</t>
  </si>
  <si>
    <t>Elec Accessories</t>
  </si>
  <si>
    <t>GVW Loading</t>
  </si>
  <si>
    <t>CNG Kit</t>
  </si>
  <si>
    <t>Basic TP 1</t>
  </si>
  <si>
    <t>IMT 23</t>
  </si>
  <si>
    <t>No of Driver/ employees</t>
  </si>
  <si>
    <t>Add On Cover ( Nil Depriciation)</t>
  </si>
  <si>
    <t>LL NFPP</t>
  </si>
  <si>
    <t xml:space="preserve">Enter Towing Charges </t>
  </si>
  <si>
    <t>No of employees/Others</t>
  </si>
  <si>
    <t>Basic TP 2</t>
  </si>
  <si>
    <t>Discounts</t>
  </si>
  <si>
    <t>Basic OD 3</t>
  </si>
  <si>
    <t>TOTAL PREMIUM</t>
  </si>
  <si>
    <t>No of Driver/employees</t>
  </si>
  <si>
    <t>No of  employees</t>
  </si>
  <si>
    <t>Embassy Loading</t>
  </si>
  <si>
    <t>DISC</t>
  </si>
  <si>
    <t xml:space="preserve">BACK  </t>
  </si>
  <si>
    <t>Passenger</t>
  </si>
  <si>
    <t xml:space="preserve">Passenger </t>
  </si>
  <si>
    <t>No of Driver employees</t>
  </si>
  <si>
    <t>Total Payable</t>
  </si>
  <si>
    <t>PA  to Owner Driver</t>
  </si>
  <si>
    <t>Back to Hyperlink</t>
  </si>
  <si>
    <t xml:space="preserve">Nil Depreciation Loading </t>
  </si>
  <si>
    <t xml:space="preserve">New &amp; Up To 6 months         </t>
  </si>
  <si>
    <t xml:space="preserve">6 Months   To 2 years               </t>
  </si>
  <si>
    <t xml:space="preserve">2 Years   to 5 years               </t>
  </si>
  <si>
    <t>NOTE:- IMT 23 (MOT-LOD-007) IS COMPULSARY WITH NIL DEPRECIATION (MOT-CVR-150)</t>
  </si>
  <si>
    <t>Public Carrier</t>
  </si>
  <si>
    <t>Public</t>
  </si>
  <si>
    <t>IDV</t>
  </si>
  <si>
    <t>Zone C</t>
  </si>
  <si>
    <t>Zone B</t>
  </si>
  <si>
    <t>Zone A</t>
  </si>
  <si>
    <t>GVW</t>
  </si>
  <si>
    <t>Premium</t>
  </si>
  <si>
    <t>Zone Offset</t>
  </si>
  <si>
    <t>OD Rate</t>
  </si>
  <si>
    <t>Private Carrier</t>
  </si>
  <si>
    <t>Private</t>
  </si>
  <si>
    <t>Miscellanous Vehicles</t>
  </si>
  <si>
    <t>Misc</t>
  </si>
  <si>
    <t>Type</t>
  </si>
  <si>
    <t>Others</t>
  </si>
  <si>
    <t>Tractors under 6 HP</t>
  </si>
  <si>
    <t>Trailers Attached</t>
  </si>
  <si>
    <t>Type of vehicle</t>
  </si>
  <si>
    <t>Overturning</t>
  </si>
  <si>
    <t>PA Owner/Driver</t>
  </si>
  <si>
    <t>Hire/Reward</t>
  </si>
  <si>
    <t>LL to Coolies</t>
  </si>
  <si>
    <t>3 WEELERS GOODS CARRYING PUBLIC</t>
  </si>
  <si>
    <t>Passenger Carrying</t>
  </si>
  <si>
    <t>Passenger Carrying  6 TO 18</t>
  </si>
  <si>
    <t>Passenger Carrying MAXI &amp; BUS</t>
  </si>
  <si>
    <t xml:space="preserve">    3 WHEELER  PRIVATE GOODS CARRYING</t>
  </si>
  <si>
    <t xml:space="preserve">BACK </t>
  </si>
  <si>
    <t>PCCV SCHOOL BUS</t>
  </si>
  <si>
    <t>Passenger Carrying SCHOOL BUS</t>
  </si>
  <si>
    <t>Age of Veicle</t>
  </si>
  <si>
    <t>Rate</t>
  </si>
  <si>
    <t>New up to 6 Months</t>
  </si>
  <si>
    <t>6 Months to 2 Year</t>
  </si>
  <si>
    <t xml:space="preserve">2 Year to 5 Year </t>
  </si>
  <si>
    <t xml:space="preserve">Nil Dep. Rate </t>
  </si>
  <si>
    <t xml:space="preserve">Nil Dep. Rate  </t>
  </si>
  <si>
    <t xml:space="preserve">          J M Patel  ( Ex.Employee )   Mobile No :  09426585252          </t>
  </si>
  <si>
    <t xml:space="preserve">, Mahemdabad  Dist : Kheda  ( Gujarat ) </t>
  </si>
  <si>
    <t xml:space="preserve">Add on Cover Consumables </t>
  </si>
  <si>
    <t>Nil Dep.Renewal Discount</t>
  </si>
  <si>
    <t>Nil Dep. Discount</t>
  </si>
  <si>
    <t xml:space="preserve">      E-mail -  jmp2599@gmail.com   </t>
  </si>
  <si>
    <t>Revised w.e.f  01/04/2022)</t>
  </si>
  <si>
    <t>Texi Car</t>
  </si>
  <si>
    <t xml:space="preserve">Pass. Carrying Vehicle </t>
  </si>
  <si>
    <t>Passenger Carrying  18 TO 35</t>
  </si>
  <si>
    <t>PCCV  ABOVE 18  PASSENGER</t>
  </si>
  <si>
    <r>
      <t xml:space="preserve">Two Wheeler Premium </t>
    </r>
    <r>
      <rPr>
        <b/>
        <i/>
        <sz val="12"/>
        <color indexed="10"/>
        <rFont val="Arial"/>
        <family val="2"/>
      </rPr>
      <t>( w.e.f  01/06/2022)</t>
    </r>
  </si>
  <si>
    <r>
      <t xml:space="preserve">Private Car </t>
    </r>
    <r>
      <rPr>
        <b/>
        <i/>
        <sz val="12"/>
        <color indexed="10"/>
        <rFont val="Arial"/>
        <family val="2"/>
      </rPr>
      <t>( w.e.f  01/06/2022)</t>
    </r>
  </si>
  <si>
    <t>Private Car   One Year Own Damage &amp; Three Year Third Party ( w.e.f  01/06/2022)</t>
  </si>
  <si>
    <t>GCCV Vehicles Public Carrier  ( w.e.f  01/06/2022)</t>
  </si>
  <si>
    <r>
      <t xml:space="preserve">GCCV Vehicles (Private Carrier) </t>
    </r>
    <r>
      <rPr>
        <b/>
        <i/>
        <sz val="12"/>
        <color indexed="10"/>
        <rFont val="Arial"/>
        <family val="2"/>
      </rPr>
      <t>(w.e.f  01/06/2022)</t>
    </r>
  </si>
  <si>
    <t>GCCV  Three wheelers  (Public Carrier)( w.e.f  01/06/2022)</t>
  </si>
  <si>
    <t>GCCV  Three wheelers  (Private Carrier) (( w.e.f  01/06/2022))</t>
  </si>
  <si>
    <r>
      <t xml:space="preserve">PCCV 3 wheelers UP TO 6 Passenger (Auto Rixa)   </t>
    </r>
    <r>
      <rPr>
        <b/>
        <i/>
        <sz val="11"/>
        <color indexed="10"/>
        <rFont val="Arial"/>
        <family val="2"/>
      </rPr>
      <t>( ( w.e.f  01/06/2022))</t>
    </r>
  </si>
  <si>
    <t>PCCV 4 Wheeler up to Six Passenger  ( w.e.f  01/06/2022)</t>
  </si>
  <si>
    <t>PCCV Three wheelers  Seating Capacity  7 TO 17 (Auto Rickshaw) ( w.e.f  01/06/2022)</t>
  </si>
  <si>
    <r>
      <t xml:space="preserve">PCCV  Vehicles MAXI &amp; BUS </t>
    </r>
    <r>
      <rPr>
        <b/>
        <i/>
        <sz val="12"/>
        <color indexed="10"/>
        <rFont val="Arial"/>
        <family val="2"/>
      </rPr>
      <t xml:space="preserve">  ( w.e.f  01/06/2022)</t>
    </r>
  </si>
  <si>
    <r>
      <t xml:space="preserve">PCCV   SCHOOL  BUS </t>
    </r>
    <r>
      <rPr>
        <b/>
        <i/>
        <sz val="12"/>
        <color indexed="10"/>
        <rFont val="Arial"/>
        <family val="2"/>
      </rPr>
      <t>(( w.e.f  01/06/2022)</t>
    </r>
  </si>
  <si>
    <t>Miscellaneous Vehicles(Class D) ( w.e.f  01/06/2022)</t>
  </si>
  <si>
    <t>Basic TP 3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</si>
</sst>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* #,##0_);_(* \(#,##0\);_(* &quot;-&quot;_);_(@_)"/>
    <numFmt numFmtId="170" formatCode="_(&quot;Rs.&quot;* #,##0.00_);_(&quot;Rs.&quot;* \(#,##0.00\);_(&quot;Rs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\-??_);_(@_)"/>
    <numFmt numFmtId="179" formatCode="dd/mm/yyyy;@"/>
    <numFmt numFmtId="180" formatCode="_(&quot;Rs.&quot;* #,##0_);_(&quot;Rs.&quot;* \(#,##0\);_(&quot;Rs.&quot;* \-_);_(@_)"/>
    <numFmt numFmtId="181" formatCode="_(* #,##0_);_(* \(#,##0\);_(* \-??_);_(@_)"/>
    <numFmt numFmtId="182" formatCode="_(&quot;Rs.&quot;* #,##0.00_);_(&quot;Rs.&quot;* \(#,##0.00\);_(&quot;Rs.&quot;* \-_);_(@_)"/>
    <numFmt numFmtId="183" formatCode="_(* #,##0.000_);_(* \(#,##0.000\);_(* \-??_);_(@_)"/>
    <numFmt numFmtId="184" formatCode="0.000"/>
    <numFmt numFmtId="185" formatCode="mm/yyyy"/>
    <numFmt numFmtId="186" formatCode="yyyy"/>
    <numFmt numFmtId="187" formatCode="0.000%"/>
    <numFmt numFmtId="188" formatCode="_(* #,##0.0_);_(* \(#,##0.0\);_(* \-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</numFmts>
  <fonts count="12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sz val="12"/>
      <color indexed="60"/>
      <name val="Times New Roman"/>
      <family val="1"/>
    </font>
    <font>
      <sz val="14"/>
      <color indexed="30"/>
      <name val="Times New Roman"/>
      <family val="1"/>
    </font>
    <font>
      <sz val="12"/>
      <color indexed="18"/>
      <name val="Times New Roman"/>
      <family val="1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14"/>
      <color indexed="12"/>
      <name val="Times New Roman"/>
      <family val="1"/>
    </font>
    <font>
      <sz val="14"/>
      <name val="Times New Roman"/>
      <family val="1"/>
    </font>
    <font>
      <i/>
      <sz val="14"/>
      <color indexed="12"/>
      <name val="Times New Roman"/>
      <family val="1"/>
    </font>
    <font>
      <i/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4"/>
      <name val="Arial"/>
      <family val="2"/>
    </font>
    <font>
      <sz val="14"/>
      <color indexed="18"/>
      <name val="Arial"/>
      <family val="2"/>
    </font>
    <font>
      <sz val="12"/>
      <name val="Arial"/>
      <family val="2"/>
    </font>
    <font>
      <sz val="12"/>
      <color indexed="30"/>
      <name val="Arial"/>
      <family val="2"/>
    </font>
    <font>
      <i/>
      <sz val="14"/>
      <color indexed="53"/>
      <name val="Arial"/>
      <family val="2"/>
    </font>
    <font>
      <sz val="12"/>
      <color indexed="56"/>
      <name val="Arial"/>
      <family val="2"/>
    </font>
    <font>
      <b/>
      <sz val="12"/>
      <color indexed="60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sz val="11"/>
      <name val="Arial"/>
      <family val="2"/>
    </font>
    <font>
      <b/>
      <sz val="14"/>
      <color indexed="30"/>
      <name val="Arial"/>
      <family val="2"/>
    </font>
    <font>
      <b/>
      <i/>
      <sz val="12"/>
      <name val="Arial"/>
      <family val="2"/>
    </font>
    <font>
      <u val="single"/>
      <sz val="11"/>
      <color indexed="56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name val="Courier New"/>
      <family val="3"/>
    </font>
    <font>
      <b/>
      <sz val="12"/>
      <color indexed="18"/>
      <name val="Courier New"/>
      <family val="3"/>
    </font>
    <font>
      <b/>
      <sz val="10"/>
      <name val="Arial"/>
      <family val="2"/>
    </font>
    <font>
      <sz val="11"/>
      <name val="Courier New CE"/>
      <family val="3"/>
    </font>
    <font>
      <sz val="10"/>
      <name val="Courier New CE"/>
      <family val="3"/>
    </font>
    <font>
      <b/>
      <sz val="12"/>
      <color indexed="30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56"/>
      <name val="Arial"/>
      <family val="2"/>
    </font>
    <font>
      <b/>
      <sz val="11"/>
      <color indexed="60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56"/>
      <name val="Arial"/>
      <family val="2"/>
    </font>
    <font>
      <b/>
      <sz val="11"/>
      <color indexed="3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56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ourier New"/>
      <family val="3"/>
    </font>
    <font>
      <b/>
      <sz val="10"/>
      <color indexed="18"/>
      <name val="Courier New"/>
      <family val="3"/>
    </font>
    <font>
      <sz val="10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1"/>
      <color indexed="10"/>
      <name val="Arial"/>
      <family val="2"/>
    </font>
    <font>
      <b/>
      <sz val="12"/>
      <color indexed="56"/>
      <name val="Courier New CE"/>
      <family val="0"/>
    </font>
    <font>
      <b/>
      <sz val="11"/>
      <name val="Courier New CE"/>
      <family val="0"/>
    </font>
    <font>
      <b/>
      <sz val="10"/>
      <name val="Courier New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ourier New CE"/>
      <family val="0"/>
    </font>
    <font>
      <b/>
      <sz val="11"/>
      <color indexed="10"/>
      <name val="Courier New CE"/>
      <family val="0"/>
    </font>
    <font>
      <b/>
      <i/>
      <sz val="14"/>
      <color indexed="10"/>
      <name val="Times New Roman"/>
      <family val="1"/>
    </font>
    <font>
      <b/>
      <i/>
      <sz val="12"/>
      <color indexed="18"/>
      <name val="Arial"/>
      <family val="2"/>
    </font>
    <font>
      <b/>
      <sz val="14"/>
      <color indexed="10"/>
      <name val="Courier New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ourier New CE"/>
      <family val="0"/>
    </font>
    <font>
      <b/>
      <sz val="11"/>
      <color rgb="FFFF0000"/>
      <name val="Courier New CE"/>
      <family val="0"/>
    </font>
    <font>
      <b/>
      <i/>
      <sz val="14"/>
      <color rgb="FFFF0000"/>
      <name val="Times New Roman"/>
      <family val="1"/>
    </font>
    <font>
      <b/>
      <i/>
      <sz val="12"/>
      <color theme="3" tint="-0.24997000396251678"/>
      <name val="Arial"/>
      <family val="2"/>
    </font>
    <font>
      <b/>
      <sz val="14"/>
      <color rgb="FFFF0000"/>
      <name val="Courier New CE"/>
      <family val="0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8"/>
      </left>
      <right>
        <color indexed="63"/>
      </right>
      <top style="thin">
        <color indexed="60"/>
      </top>
      <bottom style="thin">
        <color indexed="6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178" fontId="0" fillId="0" borderId="0" applyFill="0" applyBorder="0" applyAlignment="0" applyProtection="0"/>
    <xf numFmtId="169" fontId="0" fillId="0" borderId="0" applyFill="0" applyBorder="0" applyAlignment="0" applyProtection="0"/>
    <xf numFmtId="178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9" fillId="33" borderId="12" xfId="54" applyNumberFormat="1" applyFont="1" applyFill="1" applyBorder="1" applyAlignment="1" applyProtection="1">
      <alignment horizontal="center" vertical="center"/>
      <protection/>
    </xf>
    <xf numFmtId="0" fontId="9" fillId="33" borderId="10" xfId="54" applyNumberFormat="1" applyFont="1" applyFill="1" applyBorder="1" applyAlignment="1" applyProtection="1">
      <alignment horizontal="center" vertical="center"/>
      <protection/>
    </xf>
    <xf numFmtId="0" fontId="11" fillId="33" borderId="13" xfId="54" applyNumberFormat="1" applyFont="1" applyFill="1" applyBorder="1" applyAlignment="1" applyProtection="1">
      <alignment horizontal="center" vertical="center" wrapText="1"/>
      <protection/>
    </xf>
    <xf numFmtId="10" fontId="12" fillId="34" borderId="13" xfId="54" applyNumberFormat="1" applyFont="1" applyFill="1" applyBorder="1" applyAlignment="1" applyProtection="1">
      <alignment vertical="center"/>
      <protection locked="0"/>
    </xf>
    <xf numFmtId="0" fontId="12" fillId="33" borderId="0" xfId="0" applyFont="1" applyFill="1" applyAlignment="1">
      <alignment vertical="center"/>
    </xf>
    <xf numFmtId="0" fontId="17" fillId="0" borderId="0" xfId="0" applyFont="1" applyAlignment="1">
      <alignment/>
    </xf>
    <xf numFmtId="0" fontId="21" fillId="33" borderId="10" xfId="59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>
      <alignment/>
    </xf>
    <xf numFmtId="1" fontId="22" fillId="34" borderId="10" xfId="0" applyNumberFormat="1" applyFont="1" applyFill="1" applyBorder="1" applyAlignment="1" applyProtection="1">
      <alignment horizontal="center"/>
      <protection locked="0"/>
    </xf>
    <xf numFmtId="0" fontId="21" fillId="33" borderId="10" xfId="58" applyFont="1" applyFill="1" applyBorder="1" applyAlignment="1" applyProtection="1">
      <alignment horizontal="center" vertical="center"/>
      <protection/>
    </xf>
    <xf numFmtId="179" fontId="22" fillId="34" borderId="10" xfId="0" applyNumberFormat="1" applyFont="1" applyFill="1" applyBorder="1" applyAlignment="1" applyProtection="1">
      <alignment horizontal="center"/>
      <protection locked="0"/>
    </xf>
    <xf numFmtId="0" fontId="17" fillId="33" borderId="10" xfId="58" applyFont="1" applyFill="1" applyBorder="1" applyAlignment="1" applyProtection="1">
      <alignment horizontal="center" vertical="center"/>
      <protection/>
    </xf>
    <xf numFmtId="179" fontId="19" fillId="33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7" fillId="0" borderId="10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23" fillId="33" borderId="10" xfId="58" applyFont="1" applyFill="1" applyBorder="1" applyAlignment="1" applyProtection="1">
      <alignment horizontal="center" vertical="center"/>
      <protection/>
    </xf>
    <xf numFmtId="1" fontId="17" fillId="0" borderId="10" xfId="0" applyNumberFormat="1" applyFont="1" applyBorder="1" applyAlignment="1">
      <alignment horizontal="center"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27" fillId="33" borderId="0" xfId="0" applyFont="1" applyFill="1" applyBorder="1" applyAlignment="1">
      <alignment/>
    </xf>
    <xf numFmtId="0" fontId="27" fillId="33" borderId="0" xfId="0" applyFont="1" applyFill="1" applyBorder="1" applyAlignment="1" applyProtection="1">
      <alignment horizontal="center"/>
      <protection locked="0"/>
    </xf>
    <xf numFmtId="0" fontId="29" fillId="33" borderId="14" xfId="0" applyFont="1" applyFill="1" applyBorder="1" applyAlignment="1">
      <alignment horizontal="center"/>
    </xf>
    <xf numFmtId="1" fontId="27" fillId="33" borderId="0" xfId="0" applyNumberFormat="1" applyFont="1" applyFill="1" applyAlignment="1">
      <alignment horizontal="center"/>
    </xf>
    <xf numFmtId="0" fontId="31" fillId="33" borderId="14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left"/>
    </xf>
    <xf numFmtId="1" fontId="27" fillId="33" borderId="14" xfId="42" applyNumberFormat="1" applyFont="1" applyFill="1" applyBorder="1" applyAlignment="1" applyProtection="1">
      <alignment/>
      <protection locked="0"/>
    </xf>
    <xf numFmtId="0" fontId="27" fillId="33" borderId="14" xfId="0" applyFont="1" applyFill="1" applyBorder="1" applyAlignment="1">
      <alignment horizontal="center"/>
    </xf>
    <xf numFmtId="0" fontId="27" fillId="33" borderId="14" xfId="0" applyFont="1" applyFill="1" applyBorder="1" applyAlignment="1" applyProtection="1">
      <alignment horizontal="center"/>
      <protection locked="0"/>
    </xf>
    <xf numFmtId="0" fontId="27" fillId="33" borderId="0" xfId="42" applyNumberFormat="1" applyFont="1" applyFill="1" applyBorder="1" applyAlignment="1" applyProtection="1">
      <alignment horizontal="center"/>
      <protection locked="0"/>
    </xf>
    <xf numFmtId="180" fontId="27" fillId="33" borderId="0" xfId="42" applyNumberFormat="1" applyFont="1" applyFill="1" applyBorder="1" applyAlignment="1" applyProtection="1">
      <alignment/>
      <protection/>
    </xf>
    <xf numFmtId="0" fontId="27" fillId="33" borderId="14" xfId="42" applyNumberFormat="1" applyFont="1" applyFill="1" applyBorder="1" applyAlignment="1" applyProtection="1">
      <alignment horizontal="center"/>
      <protection locked="0"/>
    </xf>
    <xf numFmtId="180" fontId="27" fillId="33" borderId="14" xfId="42" applyNumberFormat="1" applyFont="1" applyFill="1" applyBorder="1" applyAlignment="1" applyProtection="1">
      <alignment/>
      <protection/>
    </xf>
    <xf numFmtId="0" fontId="31" fillId="33" borderId="0" xfId="0" applyFont="1" applyFill="1" applyAlignment="1">
      <alignment/>
    </xf>
    <xf numFmtId="1" fontId="31" fillId="33" borderId="0" xfId="0" applyNumberFormat="1" applyFont="1" applyFill="1" applyBorder="1" applyAlignment="1">
      <alignment/>
    </xf>
    <xf numFmtId="0" fontId="27" fillId="33" borderId="14" xfId="0" applyFont="1" applyFill="1" applyBorder="1" applyAlignment="1">
      <alignment/>
    </xf>
    <xf numFmtId="1" fontId="27" fillId="33" borderId="14" xfId="42" applyNumberFormat="1" applyFont="1" applyFill="1" applyBorder="1" applyAlignment="1" applyProtection="1">
      <alignment/>
      <protection hidden="1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/>
      <protection/>
    </xf>
    <xf numFmtId="1" fontId="27" fillId="33" borderId="0" xfId="0" applyNumberFormat="1" applyFont="1" applyFill="1" applyBorder="1" applyAlignment="1">
      <alignment/>
    </xf>
    <xf numFmtId="0" fontId="31" fillId="33" borderId="14" xfId="0" applyFont="1" applyFill="1" applyBorder="1" applyAlignment="1">
      <alignment/>
    </xf>
    <xf numFmtId="0" fontId="31" fillId="33" borderId="14" xfId="0" applyFont="1" applyFill="1" applyBorder="1" applyAlignment="1" applyProtection="1">
      <alignment/>
      <protection locked="0"/>
    </xf>
    <xf numFmtId="9" fontId="27" fillId="33" borderId="14" xfId="0" applyNumberFormat="1" applyFont="1" applyFill="1" applyBorder="1" applyAlignment="1" applyProtection="1">
      <alignment horizontal="center"/>
      <protection locked="0"/>
    </xf>
    <xf numFmtId="10" fontId="27" fillId="33" borderId="14" xfId="0" applyNumberFormat="1" applyFont="1" applyFill="1" applyBorder="1" applyAlignment="1" applyProtection="1">
      <alignment horizontal="center"/>
      <protection locked="0"/>
    </xf>
    <xf numFmtId="1" fontId="27" fillId="33" borderId="14" xfId="0" applyNumberFormat="1" applyFont="1" applyFill="1" applyBorder="1" applyAlignment="1" applyProtection="1">
      <alignment/>
      <protection locked="0"/>
    </xf>
    <xf numFmtId="181" fontId="33" fillId="33" borderId="14" xfId="42" applyNumberFormat="1" applyFont="1" applyFill="1" applyBorder="1" applyAlignment="1" applyProtection="1">
      <alignment/>
      <protection locked="0"/>
    </xf>
    <xf numFmtId="1" fontId="27" fillId="33" borderId="14" xfId="63" applyNumberFormat="1" applyFont="1" applyFill="1" applyBorder="1" applyAlignment="1" applyProtection="1">
      <alignment horizontal="center"/>
      <protection locked="0"/>
    </xf>
    <xf numFmtId="1" fontId="27" fillId="33" borderId="0" xfId="0" applyNumberFormat="1" applyFont="1" applyFill="1" applyAlignment="1">
      <alignment/>
    </xf>
    <xf numFmtId="9" fontId="27" fillId="33" borderId="14" xfId="63" applyNumberFormat="1" applyFont="1" applyFill="1" applyBorder="1" applyAlignment="1" applyProtection="1">
      <alignment horizontal="center"/>
      <protection locked="0"/>
    </xf>
    <xf numFmtId="9" fontId="27" fillId="33" borderId="14" xfId="0" applyNumberFormat="1" applyFont="1" applyFill="1" applyBorder="1" applyAlignment="1" applyProtection="1">
      <alignment/>
      <protection locked="0"/>
    </xf>
    <xf numFmtId="1" fontId="31" fillId="33" borderId="14" xfId="42" applyNumberFormat="1" applyFont="1" applyFill="1" applyBorder="1" applyAlignment="1" applyProtection="1">
      <alignment/>
      <protection hidden="1"/>
    </xf>
    <xf numFmtId="9" fontId="27" fillId="33" borderId="0" xfId="0" applyNumberFormat="1" applyFont="1" applyFill="1" applyBorder="1" applyAlignment="1">
      <alignment horizontal="center"/>
    </xf>
    <xf numFmtId="182" fontId="27" fillId="33" borderId="0" xfId="42" applyNumberFormat="1" applyFont="1" applyFill="1" applyBorder="1" applyAlignment="1" applyProtection="1">
      <alignment/>
      <protection/>
    </xf>
    <xf numFmtId="1" fontId="31" fillId="33" borderId="0" xfId="42" applyNumberFormat="1" applyFont="1" applyFill="1" applyBorder="1" applyAlignment="1" applyProtection="1">
      <alignment/>
      <protection hidden="1"/>
    </xf>
    <xf numFmtId="178" fontId="27" fillId="33" borderId="0" xfId="0" applyNumberFormat="1" applyFont="1" applyFill="1" applyAlignment="1">
      <alignment/>
    </xf>
    <xf numFmtId="0" fontId="27" fillId="33" borderId="15" xfId="0" applyFont="1" applyFill="1" applyBorder="1" applyAlignment="1">
      <alignment horizontal="center"/>
    </xf>
    <xf numFmtId="180" fontId="31" fillId="33" borderId="14" xfId="42" applyNumberFormat="1" applyFont="1" applyFill="1" applyBorder="1" applyAlignment="1" applyProtection="1">
      <alignment horizontal="right"/>
      <protection hidden="1"/>
    </xf>
    <xf numFmtId="0" fontId="31" fillId="33" borderId="14" xfId="0" applyFont="1" applyFill="1" applyBorder="1" applyAlignment="1" applyProtection="1">
      <alignment horizontal="center"/>
      <protection hidden="1"/>
    </xf>
    <xf numFmtId="0" fontId="31" fillId="33" borderId="14" xfId="0" applyFont="1" applyFill="1" applyBorder="1" applyAlignment="1">
      <alignment horizontal="center" vertical="center"/>
    </xf>
    <xf numFmtId="1" fontId="27" fillId="33" borderId="0" xfId="0" applyNumberFormat="1" applyFont="1" applyFill="1" applyBorder="1" applyAlignment="1" applyProtection="1">
      <alignment horizontal="right"/>
      <protection hidden="1"/>
    </xf>
    <xf numFmtId="1" fontId="27" fillId="33" borderId="14" xfId="0" applyNumberFormat="1" applyFont="1" applyFill="1" applyBorder="1" applyAlignment="1" applyProtection="1">
      <alignment horizontal="right"/>
      <protection hidden="1"/>
    </xf>
    <xf numFmtId="0" fontId="27" fillId="33" borderId="0" xfId="0" applyFont="1" applyFill="1" applyBorder="1" applyAlignment="1">
      <alignment wrapText="1"/>
    </xf>
    <xf numFmtId="1" fontId="36" fillId="33" borderId="14" xfId="0" applyNumberFormat="1" applyFont="1" applyFill="1" applyBorder="1" applyAlignment="1" applyProtection="1">
      <alignment horizontal="right"/>
      <protection hidden="1"/>
    </xf>
    <xf numFmtId="1" fontId="36" fillId="33" borderId="14" xfId="0" applyNumberFormat="1" applyFont="1" applyFill="1" applyBorder="1" applyAlignment="1" applyProtection="1">
      <alignment/>
      <protection hidden="1"/>
    </xf>
    <xf numFmtId="1" fontId="36" fillId="33" borderId="14" xfId="42" applyNumberFormat="1" applyFont="1" applyFill="1" applyBorder="1" applyAlignment="1" applyProtection="1">
      <alignment/>
      <protection hidden="1"/>
    </xf>
    <xf numFmtId="0" fontId="27" fillId="33" borderId="10" xfId="0" applyFont="1" applyFill="1" applyBorder="1" applyAlignment="1">
      <alignment horizontal="center"/>
    </xf>
    <xf numFmtId="1" fontId="27" fillId="33" borderId="10" xfId="0" applyNumberFormat="1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9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183" fontId="0" fillId="33" borderId="10" xfId="42" applyNumberFormat="1" applyFont="1" applyFill="1" applyBorder="1" applyAlignment="1" applyProtection="1">
      <alignment/>
      <protection/>
    </xf>
    <xf numFmtId="183" fontId="0" fillId="33" borderId="18" xfId="42" applyNumberFormat="1" applyFont="1" applyFill="1" applyBorder="1" applyAlignment="1" applyProtection="1">
      <alignment/>
      <protection/>
    </xf>
    <xf numFmtId="183" fontId="0" fillId="33" borderId="13" xfId="42" applyNumberFormat="1" applyFont="1" applyFill="1" applyBorder="1" applyAlignment="1" applyProtection="1">
      <alignment/>
      <protection/>
    </xf>
    <xf numFmtId="183" fontId="0" fillId="33" borderId="19" xfId="42" applyNumberFormat="1" applyFont="1" applyFill="1" applyBorder="1" applyAlignment="1" applyProtection="1">
      <alignment/>
      <protection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/>
    </xf>
    <xf numFmtId="10" fontId="0" fillId="33" borderId="10" xfId="0" applyNumberFormat="1" applyFont="1" applyFill="1" applyBorder="1" applyAlignment="1">
      <alignment/>
    </xf>
    <xf numFmtId="0" fontId="19" fillId="33" borderId="0" xfId="0" applyFont="1" applyFill="1" applyAlignment="1">
      <alignment horizontal="right"/>
    </xf>
    <xf numFmtId="0" fontId="38" fillId="33" borderId="0" xfId="0" applyFont="1" applyFill="1" applyAlignment="1">
      <alignment horizontal="right"/>
    </xf>
    <xf numFmtId="0" fontId="39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right"/>
    </xf>
    <xf numFmtId="184" fontId="38" fillId="33" borderId="10" xfId="0" applyNumberFormat="1" applyFont="1" applyFill="1" applyBorder="1" applyAlignment="1">
      <alignment horizontal="right"/>
    </xf>
    <xf numFmtId="0" fontId="38" fillId="34" borderId="10" xfId="0" applyFont="1" applyFill="1" applyBorder="1" applyAlignment="1">
      <alignment horizontal="right"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1" fillId="33" borderId="24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8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10" fontId="42" fillId="33" borderId="10" xfId="42" applyNumberFormat="1" applyFont="1" applyFill="1" applyBorder="1" applyAlignment="1" applyProtection="1">
      <alignment/>
      <protection/>
    </xf>
    <xf numFmtId="183" fontId="41" fillId="33" borderId="10" xfId="42" applyNumberFormat="1" applyFont="1" applyFill="1" applyBorder="1" applyAlignment="1" applyProtection="1">
      <alignment/>
      <protection/>
    </xf>
    <xf numFmtId="183" fontId="41" fillId="33" borderId="18" xfId="42" applyNumberFormat="1" applyFont="1" applyFill="1" applyBorder="1" applyAlignment="1" applyProtection="1">
      <alignment/>
      <protection/>
    </xf>
    <xf numFmtId="0" fontId="41" fillId="33" borderId="25" xfId="0" applyFont="1" applyFill="1" applyBorder="1" applyAlignment="1">
      <alignment/>
    </xf>
    <xf numFmtId="0" fontId="41" fillId="33" borderId="23" xfId="0" applyFont="1" applyFill="1" applyBorder="1" applyAlignment="1">
      <alignment/>
    </xf>
    <xf numFmtId="9" fontId="41" fillId="33" borderId="10" xfId="0" applyNumberFormat="1" applyFont="1" applyFill="1" applyBorder="1" applyAlignment="1">
      <alignment/>
    </xf>
    <xf numFmtId="10" fontId="41" fillId="33" borderId="10" xfId="0" applyNumberFormat="1" applyFont="1" applyFill="1" applyBorder="1" applyAlignment="1">
      <alignment/>
    </xf>
    <xf numFmtId="14" fontId="27" fillId="33" borderId="0" xfId="0" applyNumberFormat="1" applyFont="1" applyFill="1" applyAlignment="1">
      <alignment/>
    </xf>
    <xf numFmtId="0" fontId="27" fillId="33" borderId="14" xfId="42" applyNumberFormat="1" applyFont="1" applyFill="1" applyBorder="1" applyAlignment="1" applyProtection="1">
      <alignment/>
      <protection locked="0"/>
    </xf>
    <xf numFmtId="185" fontId="27" fillId="33" borderId="0" xfId="0" applyNumberFormat="1" applyFont="1" applyFill="1" applyAlignment="1">
      <alignment/>
    </xf>
    <xf numFmtId="0" fontId="27" fillId="33" borderId="14" xfId="0" applyFont="1" applyFill="1" applyBorder="1" applyAlignment="1" applyProtection="1">
      <alignment horizontal="right"/>
      <protection locked="0"/>
    </xf>
    <xf numFmtId="186" fontId="27" fillId="33" borderId="0" xfId="0" applyNumberFormat="1" applyFont="1" applyFill="1" applyAlignment="1">
      <alignment/>
    </xf>
    <xf numFmtId="180" fontId="27" fillId="33" borderId="14" xfId="42" applyNumberFormat="1" applyFont="1" applyFill="1" applyBorder="1" applyAlignment="1" applyProtection="1">
      <alignment horizontal="center"/>
      <protection locked="0"/>
    </xf>
    <xf numFmtId="0" fontId="27" fillId="33" borderId="26" xfId="0" applyFont="1" applyFill="1" applyBorder="1" applyAlignment="1">
      <alignment/>
    </xf>
    <xf numFmtId="0" fontId="27" fillId="33" borderId="15" xfId="0" applyFont="1" applyFill="1" applyBorder="1" applyAlignment="1">
      <alignment/>
    </xf>
    <xf numFmtId="0" fontId="31" fillId="33" borderId="14" xfId="0" applyFont="1" applyFill="1" applyBorder="1" applyAlignment="1">
      <alignment horizontal="left"/>
    </xf>
    <xf numFmtId="0" fontId="31" fillId="33" borderId="14" xfId="0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/>
      <protection hidden="1"/>
    </xf>
    <xf numFmtId="1" fontId="27" fillId="33" borderId="14" xfId="0" applyNumberFormat="1" applyFont="1" applyFill="1" applyBorder="1" applyAlignment="1" applyProtection="1">
      <alignment/>
      <protection locked="0"/>
    </xf>
    <xf numFmtId="181" fontId="35" fillId="33" borderId="14" xfId="42" applyNumberFormat="1" applyFont="1" applyFill="1" applyBorder="1" applyAlignment="1" applyProtection="1">
      <alignment/>
      <protection locked="0"/>
    </xf>
    <xf numFmtId="4" fontId="27" fillId="33" borderId="0" xfId="0" applyNumberFormat="1" applyFont="1" applyFill="1" applyAlignment="1">
      <alignment/>
    </xf>
    <xf numFmtId="1" fontId="27" fillId="33" borderId="14" xfId="0" applyNumberFormat="1" applyFont="1" applyFill="1" applyBorder="1" applyAlignment="1" applyProtection="1">
      <alignment horizontal="center"/>
      <protection locked="0"/>
    </xf>
    <xf numFmtId="1" fontId="31" fillId="33" borderId="14" xfId="0" applyNumberFormat="1" applyFont="1" applyFill="1" applyBorder="1" applyAlignment="1" applyProtection="1">
      <alignment/>
      <protection hidden="1"/>
    </xf>
    <xf numFmtId="0" fontId="27" fillId="33" borderId="0" xfId="0" applyFont="1" applyFill="1" applyBorder="1" applyAlignment="1" applyProtection="1">
      <alignment horizontal="center"/>
      <protection hidden="1"/>
    </xf>
    <xf numFmtId="0" fontId="27" fillId="33" borderId="0" xfId="0" applyFont="1" applyFill="1" applyBorder="1" applyAlignment="1" applyProtection="1">
      <alignment/>
      <protection hidden="1"/>
    </xf>
    <xf numFmtId="180" fontId="27" fillId="33" borderId="0" xfId="42" applyNumberFormat="1" applyFont="1" applyFill="1" applyBorder="1" applyAlignment="1" applyProtection="1">
      <alignment/>
      <protection hidden="1"/>
    </xf>
    <xf numFmtId="4" fontId="31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0" fontId="36" fillId="33" borderId="0" xfId="0" applyFont="1" applyFill="1" applyBorder="1" applyAlignment="1">
      <alignment horizontal="center" vertical="center" wrapText="1"/>
    </xf>
    <xf numFmtId="180" fontId="31" fillId="33" borderId="10" xfId="42" applyNumberFormat="1" applyFont="1" applyFill="1" applyBorder="1" applyAlignment="1" applyProtection="1">
      <alignment horizontal="right"/>
      <protection hidden="1"/>
    </xf>
    <xf numFmtId="0" fontId="31" fillId="33" borderId="10" xfId="0" applyFont="1" applyFill="1" applyBorder="1" applyAlignment="1" applyProtection="1">
      <alignment horizontal="center"/>
      <protection hidden="1"/>
    </xf>
    <xf numFmtId="0" fontId="31" fillId="33" borderId="15" xfId="0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 applyProtection="1">
      <alignment horizontal="right"/>
      <protection hidden="1"/>
    </xf>
    <xf numFmtId="1" fontId="27" fillId="33" borderId="10" xfId="42" applyNumberFormat="1" applyFont="1" applyFill="1" applyBorder="1" applyAlignment="1" applyProtection="1">
      <alignment/>
      <protection hidden="1"/>
    </xf>
    <xf numFmtId="1" fontId="31" fillId="33" borderId="15" xfId="42" applyNumberFormat="1" applyFont="1" applyFill="1" applyBorder="1" applyAlignment="1" applyProtection="1">
      <alignment/>
      <protection hidden="1"/>
    </xf>
    <xf numFmtId="1" fontId="27" fillId="33" borderId="10" xfId="0" applyNumberFormat="1" applyFont="1" applyFill="1" applyBorder="1" applyAlignment="1" applyProtection="1">
      <alignment/>
      <protection hidden="1"/>
    </xf>
    <xf numFmtId="1" fontId="27" fillId="33" borderId="15" xfId="0" applyNumberFormat="1" applyFont="1" applyFill="1" applyBorder="1" applyAlignment="1" applyProtection="1">
      <alignment/>
      <protection hidden="1"/>
    </xf>
    <xf numFmtId="1" fontId="36" fillId="33" borderId="10" xfId="0" applyNumberFormat="1" applyFont="1" applyFill="1" applyBorder="1" applyAlignment="1" applyProtection="1">
      <alignment/>
      <protection hidden="1"/>
    </xf>
    <xf numFmtId="1" fontId="36" fillId="33" borderId="15" xfId="42" applyNumberFormat="1" applyFont="1" applyFill="1" applyBorder="1" applyAlignment="1" applyProtection="1">
      <alignment/>
      <protection hidden="1"/>
    </xf>
    <xf numFmtId="10" fontId="27" fillId="33" borderId="10" xfId="0" applyNumberFormat="1" applyFont="1" applyFill="1" applyBorder="1" applyAlignment="1">
      <alignment horizontal="center"/>
    </xf>
    <xf numFmtId="180" fontId="27" fillId="33" borderId="14" xfId="0" applyNumberFormat="1" applyFont="1" applyFill="1" applyBorder="1" applyAlignment="1" applyProtection="1">
      <alignment horizontal="center"/>
      <protection locked="0"/>
    </xf>
    <xf numFmtId="181" fontId="35" fillId="33" borderId="14" xfId="0" applyNumberFormat="1" applyFont="1" applyFill="1" applyBorder="1" applyAlignment="1" applyProtection="1">
      <alignment/>
      <protection locked="0"/>
    </xf>
    <xf numFmtId="0" fontId="27" fillId="33" borderId="0" xfId="0" applyFont="1" applyFill="1" applyAlignment="1">
      <alignment vertical="center"/>
    </xf>
    <xf numFmtId="0" fontId="29" fillId="33" borderId="14" xfId="0" applyFont="1" applyFill="1" applyBorder="1" applyAlignment="1">
      <alignment horizontal="center" vertical="center"/>
    </xf>
    <xf numFmtId="1" fontId="27" fillId="33" borderId="0" xfId="0" applyNumberFormat="1" applyFont="1" applyFill="1" applyAlignment="1">
      <alignment vertical="center"/>
    </xf>
    <xf numFmtId="0" fontId="29" fillId="33" borderId="26" xfId="0" applyFont="1" applyFill="1" applyBorder="1" applyAlignment="1">
      <alignment horizontal="center" vertical="center"/>
    </xf>
    <xf numFmtId="1" fontId="27" fillId="33" borderId="14" xfId="42" applyNumberFormat="1" applyFont="1" applyFill="1" applyBorder="1" applyAlignment="1" applyProtection="1">
      <alignment vertical="center"/>
      <protection locked="0"/>
    </xf>
    <xf numFmtId="0" fontId="27" fillId="33" borderId="14" xfId="0" applyFont="1" applyFill="1" applyBorder="1" applyAlignment="1">
      <alignment vertical="center"/>
    </xf>
    <xf numFmtId="0" fontId="27" fillId="33" borderId="14" xfId="42" applyNumberFormat="1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vertical="center"/>
      <protection locked="0"/>
    </xf>
    <xf numFmtId="1" fontId="27" fillId="33" borderId="14" xfId="42" applyNumberFormat="1" applyFont="1" applyFill="1" applyBorder="1" applyAlignment="1" applyProtection="1">
      <alignment vertical="center"/>
      <protection hidden="1"/>
    </xf>
    <xf numFmtId="0" fontId="27" fillId="33" borderId="14" xfId="0" applyFont="1" applyFill="1" applyBorder="1" applyAlignment="1">
      <alignment/>
    </xf>
    <xf numFmtId="0" fontId="46" fillId="33" borderId="14" xfId="0" applyFont="1" applyFill="1" applyBorder="1" applyAlignment="1" applyProtection="1">
      <alignment horizontal="center"/>
      <protection locked="0"/>
    </xf>
    <xf numFmtId="1" fontId="46" fillId="33" borderId="14" xfId="42" applyNumberFormat="1" applyFont="1" applyFill="1" applyBorder="1" applyAlignment="1" applyProtection="1">
      <alignment/>
      <protection hidden="1"/>
    </xf>
    <xf numFmtId="0" fontId="31" fillId="33" borderId="0" xfId="0" applyFont="1" applyFill="1" applyAlignment="1">
      <alignment vertical="center"/>
    </xf>
    <xf numFmtId="0" fontId="31" fillId="33" borderId="14" xfId="0" applyFont="1" applyFill="1" applyBorder="1" applyAlignment="1" applyProtection="1">
      <alignment vertical="center"/>
      <protection locked="0"/>
    </xf>
    <xf numFmtId="1" fontId="31" fillId="33" borderId="14" xfId="42" applyNumberFormat="1" applyFont="1" applyFill="1" applyBorder="1" applyAlignment="1" applyProtection="1">
      <alignment vertical="center"/>
      <protection hidden="1"/>
    </xf>
    <xf numFmtId="9" fontId="27" fillId="33" borderId="14" xfId="0" applyNumberFormat="1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vertical="center"/>
      <protection hidden="1"/>
    </xf>
    <xf numFmtId="0" fontId="31" fillId="35" borderId="14" xfId="0" applyFont="1" applyFill="1" applyBorder="1" applyAlignment="1" applyProtection="1">
      <alignment vertical="center"/>
      <protection locked="0"/>
    </xf>
    <xf numFmtId="0" fontId="27" fillId="33" borderId="14" xfId="42" applyNumberFormat="1" applyFont="1" applyFill="1" applyBorder="1" applyAlignment="1" applyProtection="1">
      <alignment vertical="center"/>
      <protection hidden="1"/>
    </xf>
    <xf numFmtId="0" fontId="31" fillId="33" borderId="26" xfId="0" applyFont="1" applyFill="1" applyBorder="1" applyAlignment="1">
      <alignment vertical="center"/>
    </xf>
    <xf numFmtId="0" fontId="31" fillId="33" borderId="15" xfId="0" applyFont="1" applyFill="1" applyBorder="1" applyAlignment="1">
      <alignment vertical="center"/>
    </xf>
    <xf numFmtId="0" fontId="31" fillId="33" borderId="14" xfId="0" applyFont="1" applyFill="1" applyBorder="1" applyAlignment="1">
      <alignment vertical="center"/>
    </xf>
    <xf numFmtId="9" fontId="27" fillId="33" borderId="14" xfId="63" applyNumberFormat="1" applyFont="1" applyFill="1" applyBorder="1" applyAlignment="1" applyProtection="1">
      <alignment horizontal="center" vertical="center"/>
      <protection locked="0"/>
    </xf>
    <xf numFmtId="1" fontId="31" fillId="33" borderId="14" xfId="0" applyNumberFormat="1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vertical="center"/>
      <protection hidden="1"/>
    </xf>
    <xf numFmtId="9" fontId="27" fillId="33" borderId="0" xfId="0" applyNumberFormat="1" applyFont="1" applyFill="1" applyBorder="1" applyAlignment="1" applyProtection="1">
      <alignment vertical="center"/>
      <protection hidden="1"/>
    </xf>
    <xf numFmtId="180" fontId="27" fillId="33" borderId="0" xfId="42" applyNumberFormat="1" applyFont="1" applyFill="1" applyBorder="1" applyAlignment="1" applyProtection="1">
      <alignment horizontal="center" vertical="center"/>
      <protection hidden="1"/>
    </xf>
    <xf numFmtId="180" fontId="27" fillId="33" borderId="0" xfId="42" applyNumberFormat="1" applyFont="1" applyFill="1" applyBorder="1" applyAlignment="1" applyProtection="1">
      <alignment vertical="center"/>
      <protection hidden="1"/>
    </xf>
    <xf numFmtId="1" fontId="27" fillId="33" borderId="14" xfId="0" applyNumberFormat="1" applyFont="1" applyFill="1" applyBorder="1" applyAlignment="1" applyProtection="1">
      <alignment/>
      <protection hidden="1"/>
    </xf>
    <xf numFmtId="0" fontId="27" fillId="33" borderId="0" xfId="0" applyFont="1" applyFill="1" applyBorder="1" applyAlignment="1">
      <alignment vertical="center"/>
    </xf>
    <xf numFmtId="180" fontId="27" fillId="33" borderId="0" xfId="0" applyNumberFormat="1" applyFont="1" applyFill="1" applyAlignment="1">
      <alignment vertical="center"/>
    </xf>
    <xf numFmtId="0" fontId="27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 vertical="center"/>
    </xf>
    <xf numFmtId="1" fontId="27" fillId="33" borderId="0" xfId="0" applyNumberFormat="1" applyFont="1" applyFill="1" applyAlignment="1">
      <alignment horizontal="left" vertical="center"/>
    </xf>
    <xf numFmtId="9" fontId="27" fillId="33" borderId="0" xfId="0" applyNumberFormat="1" applyFont="1" applyFill="1" applyAlignment="1">
      <alignment/>
    </xf>
    <xf numFmtId="0" fontId="31" fillId="33" borderId="0" xfId="0" applyFont="1" applyFill="1" applyBorder="1" applyAlignment="1">
      <alignment/>
    </xf>
    <xf numFmtId="0" fontId="31" fillId="33" borderId="0" xfId="0" applyFont="1" applyFill="1" applyAlignment="1">
      <alignment horizontal="left"/>
    </xf>
    <xf numFmtId="9" fontId="27" fillId="33" borderId="14" xfId="63" applyNumberFormat="1" applyFont="1" applyFill="1" applyBorder="1" applyAlignment="1" applyProtection="1">
      <alignment/>
      <protection locked="0"/>
    </xf>
    <xf numFmtId="0" fontId="27" fillId="33" borderId="27" xfId="0" applyFont="1" applyFill="1" applyBorder="1" applyAlignment="1" applyProtection="1">
      <alignment/>
      <protection hidden="1"/>
    </xf>
    <xf numFmtId="9" fontId="27" fillId="33" borderId="0" xfId="0" applyNumberFormat="1" applyFont="1" applyFill="1" applyBorder="1" applyAlignment="1" applyProtection="1">
      <alignment/>
      <protection hidden="1"/>
    </xf>
    <xf numFmtId="180" fontId="27" fillId="33" borderId="0" xfId="42" applyNumberFormat="1" applyFont="1" applyFill="1" applyBorder="1" applyAlignment="1" applyProtection="1">
      <alignment horizontal="center"/>
      <protection hidden="1"/>
    </xf>
    <xf numFmtId="0" fontId="27" fillId="33" borderId="15" xfId="0" applyFont="1" applyFill="1" applyBorder="1" applyAlignment="1" applyProtection="1">
      <alignment horizontal="center"/>
      <protection hidden="1"/>
    </xf>
    <xf numFmtId="0" fontId="27" fillId="33" borderId="14" xfId="0" applyFont="1" applyFill="1" applyBorder="1" applyAlignment="1" applyProtection="1">
      <alignment horizontal="center"/>
      <protection hidden="1"/>
    </xf>
    <xf numFmtId="180" fontId="27" fillId="33" borderId="14" xfId="42" applyNumberFormat="1" applyFont="1" applyFill="1" applyBorder="1" applyAlignment="1" applyProtection="1">
      <alignment/>
      <protection hidden="1"/>
    </xf>
    <xf numFmtId="1" fontId="50" fillId="33" borderId="14" xfId="0" applyNumberFormat="1" applyFont="1" applyFill="1" applyBorder="1" applyAlignment="1" applyProtection="1">
      <alignment/>
      <protection hidden="1"/>
    </xf>
    <xf numFmtId="1" fontId="50" fillId="33" borderId="14" xfId="42" applyNumberFormat="1" applyFont="1" applyFill="1" applyBorder="1" applyAlignment="1" applyProtection="1">
      <alignment/>
      <protection hidden="1"/>
    </xf>
    <xf numFmtId="187" fontId="27" fillId="33" borderId="0" xfId="63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center" vertical="center"/>
    </xf>
    <xf numFmtId="10" fontId="27" fillId="33" borderId="10" xfId="0" applyNumberFormat="1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42" fillId="33" borderId="18" xfId="0" applyFont="1" applyFill="1" applyBorder="1" applyAlignment="1">
      <alignment/>
    </xf>
    <xf numFmtId="183" fontId="42" fillId="33" borderId="10" xfId="42" applyNumberFormat="1" applyFont="1" applyFill="1" applyBorder="1" applyAlignment="1" applyProtection="1">
      <alignment/>
      <protection/>
    </xf>
    <xf numFmtId="183" fontId="42" fillId="33" borderId="18" xfId="42" applyNumberFormat="1" applyFont="1" applyFill="1" applyBorder="1" applyAlignment="1" applyProtection="1">
      <alignment/>
      <protection/>
    </xf>
    <xf numFmtId="0" fontId="42" fillId="33" borderId="25" xfId="0" applyFont="1" applyFill="1" applyBorder="1" applyAlignment="1">
      <alignment horizontal="center"/>
    </xf>
    <xf numFmtId="9" fontId="42" fillId="33" borderId="10" xfId="0" applyNumberFormat="1" applyFont="1" applyFill="1" applyBorder="1" applyAlignment="1">
      <alignment/>
    </xf>
    <xf numFmtId="10" fontId="42" fillId="33" borderId="1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1" fontId="52" fillId="33" borderId="0" xfId="0" applyNumberFormat="1" applyFont="1" applyFill="1" applyBorder="1" applyAlignment="1">
      <alignment/>
    </xf>
    <xf numFmtId="1" fontId="19" fillId="33" borderId="14" xfId="42" applyNumberFormat="1" applyFont="1" applyFill="1" applyBorder="1" applyAlignment="1" applyProtection="1">
      <alignment/>
      <protection locked="0"/>
    </xf>
    <xf numFmtId="0" fontId="19" fillId="33" borderId="14" xfId="0" applyFont="1" applyFill="1" applyBorder="1" applyAlignment="1">
      <alignment/>
    </xf>
    <xf numFmtId="0" fontId="19" fillId="33" borderId="14" xfId="42" applyNumberFormat="1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 applyProtection="1">
      <alignment/>
      <protection/>
    </xf>
    <xf numFmtId="1" fontId="19" fillId="33" borderId="14" xfId="42" applyNumberFormat="1" applyFont="1" applyFill="1" applyBorder="1" applyAlignment="1" applyProtection="1">
      <alignment/>
      <protection hidden="1"/>
    </xf>
    <xf numFmtId="0" fontId="19" fillId="33" borderId="14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>
      <alignment/>
    </xf>
    <xf numFmtId="0" fontId="52" fillId="33" borderId="14" xfId="0" applyFont="1" applyFill="1" applyBorder="1" applyAlignment="1" applyProtection="1">
      <alignment/>
      <protection locked="0"/>
    </xf>
    <xf numFmtId="1" fontId="52" fillId="33" borderId="14" xfId="42" applyNumberFormat="1" applyFont="1" applyFill="1" applyBorder="1" applyAlignment="1" applyProtection="1">
      <alignment/>
      <protection hidden="1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Border="1" applyAlignment="1">
      <alignment/>
    </xf>
    <xf numFmtId="0" fontId="19" fillId="33" borderId="14" xfId="0" applyFont="1" applyFill="1" applyBorder="1" applyAlignment="1" applyProtection="1">
      <alignment/>
      <protection hidden="1"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 applyProtection="1">
      <alignment/>
      <protection locked="0"/>
    </xf>
    <xf numFmtId="1" fontId="54" fillId="33" borderId="14" xfId="42" applyNumberFormat="1" applyFont="1" applyFill="1" applyBorder="1" applyAlignment="1" applyProtection="1">
      <alignment/>
      <protection hidden="1"/>
    </xf>
    <xf numFmtId="1" fontId="19" fillId="33" borderId="14" xfId="42" applyNumberFormat="1" applyFont="1" applyFill="1" applyBorder="1" applyAlignment="1" applyProtection="1">
      <alignment vertical="center"/>
      <protection hidden="1"/>
    </xf>
    <xf numFmtId="1" fontId="52" fillId="33" borderId="14" xfId="0" applyNumberFormat="1" applyFont="1" applyFill="1" applyBorder="1" applyAlignment="1" applyProtection="1">
      <alignment/>
      <protection hidden="1"/>
    </xf>
    <xf numFmtId="1" fontId="19" fillId="33" borderId="0" xfId="0" applyNumberFormat="1" applyFont="1" applyFill="1" applyBorder="1" applyAlignment="1" applyProtection="1">
      <alignment/>
      <protection hidden="1"/>
    </xf>
    <xf numFmtId="0" fontId="53" fillId="33" borderId="0" xfId="0" applyFont="1" applyFill="1" applyBorder="1" applyAlignment="1">
      <alignment/>
    </xf>
    <xf numFmtId="1" fontId="19" fillId="33" borderId="0" xfId="42" applyNumberFormat="1" applyFont="1" applyFill="1" applyBorder="1" applyAlignment="1" applyProtection="1">
      <alignment/>
      <protection hidden="1"/>
    </xf>
    <xf numFmtId="0" fontId="19" fillId="33" borderId="0" xfId="0" applyFont="1" applyFill="1" applyBorder="1" applyAlignment="1" applyProtection="1">
      <alignment/>
      <protection hidden="1"/>
    </xf>
    <xf numFmtId="9" fontId="19" fillId="33" borderId="0" xfId="0" applyNumberFormat="1" applyFont="1" applyFill="1" applyBorder="1" applyAlignment="1" applyProtection="1">
      <alignment/>
      <protection hidden="1"/>
    </xf>
    <xf numFmtId="180" fontId="19" fillId="33" borderId="0" xfId="42" applyNumberFormat="1" applyFont="1" applyFill="1" applyBorder="1" applyAlignment="1" applyProtection="1">
      <alignment horizontal="center"/>
      <protection hidden="1"/>
    </xf>
    <xf numFmtId="180" fontId="19" fillId="33" borderId="0" xfId="42" applyNumberFormat="1" applyFont="1" applyFill="1" applyBorder="1" applyAlignment="1" applyProtection="1">
      <alignment/>
      <protection hidden="1"/>
    </xf>
    <xf numFmtId="180" fontId="52" fillId="33" borderId="14" xfId="42" applyNumberFormat="1" applyFont="1" applyFill="1" applyBorder="1" applyAlignment="1" applyProtection="1">
      <alignment horizontal="right"/>
      <protection hidden="1"/>
    </xf>
    <xf numFmtId="0" fontId="52" fillId="33" borderId="14" xfId="0" applyFont="1" applyFill="1" applyBorder="1" applyAlignment="1" applyProtection="1">
      <alignment horizontal="center"/>
      <protection hidden="1"/>
    </xf>
    <xf numFmtId="0" fontId="52" fillId="33" borderId="14" xfId="0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 applyProtection="1">
      <alignment horizontal="right"/>
      <protection hidden="1"/>
    </xf>
    <xf numFmtId="1" fontId="19" fillId="33" borderId="14" xfId="0" applyNumberFormat="1" applyFont="1" applyFill="1" applyBorder="1" applyAlignment="1" applyProtection="1">
      <alignment/>
      <protection hidden="1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187" fontId="19" fillId="33" borderId="0" xfId="63" applyNumberFormat="1" applyFont="1" applyFill="1" applyBorder="1" applyAlignment="1" applyProtection="1">
      <alignment/>
      <protection/>
    </xf>
    <xf numFmtId="180" fontId="19" fillId="33" borderId="0" xfId="0" applyNumberFormat="1" applyFont="1" applyFill="1" applyBorder="1" applyAlignment="1">
      <alignment/>
    </xf>
    <xf numFmtId="0" fontId="19" fillId="33" borderId="10" xfId="0" applyFont="1" applyFill="1" applyBorder="1" applyAlignment="1">
      <alignment horizontal="center"/>
    </xf>
    <xf numFmtId="1" fontId="19" fillId="33" borderId="10" xfId="0" applyNumberFormat="1" applyFont="1" applyFill="1" applyBorder="1" applyAlignment="1">
      <alignment horizontal="center"/>
    </xf>
    <xf numFmtId="1" fontId="0" fillId="33" borderId="14" xfId="42" applyNumberFormat="1" applyFont="1" applyFill="1" applyBorder="1" applyAlignment="1" applyProtection="1">
      <alignment/>
      <protection hidden="1"/>
    </xf>
    <xf numFmtId="1" fontId="46" fillId="33" borderId="14" xfId="42" applyNumberFormat="1" applyFont="1" applyFill="1" applyBorder="1" applyAlignment="1" applyProtection="1">
      <alignment horizontal="right"/>
      <protection hidden="1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>
      <alignment horizontal="center" vertical="center"/>
    </xf>
    <xf numFmtId="1" fontId="27" fillId="33" borderId="0" xfId="0" applyNumberFormat="1" applyFont="1" applyFill="1" applyBorder="1" applyAlignment="1">
      <alignment horizontal="center" vertical="center"/>
    </xf>
    <xf numFmtId="0" fontId="27" fillId="33" borderId="14" xfId="0" applyFont="1" applyFill="1" applyBorder="1" applyAlignment="1" applyProtection="1">
      <alignment vertical="center"/>
      <protection/>
    </xf>
    <xf numFmtId="9" fontId="27" fillId="33" borderId="14" xfId="42" applyNumberFormat="1" applyFont="1" applyFill="1" applyBorder="1" applyAlignment="1" applyProtection="1">
      <alignment horizontal="center" vertical="center"/>
      <protection locked="0"/>
    </xf>
    <xf numFmtId="1" fontId="27" fillId="33" borderId="14" xfId="0" applyNumberFormat="1" applyFont="1" applyFill="1" applyBorder="1" applyAlignment="1" applyProtection="1">
      <alignment vertical="center"/>
      <protection hidden="1"/>
    </xf>
    <xf numFmtId="1" fontId="27" fillId="33" borderId="0" xfId="0" applyNumberFormat="1" applyFont="1" applyFill="1" applyBorder="1" applyAlignment="1">
      <alignment vertical="center"/>
    </xf>
    <xf numFmtId="180" fontId="31" fillId="33" borderId="14" xfId="42" applyNumberFormat="1" applyFont="1" applyFill="1" applyBorder="1" applyAlignment="1" applyProtection="1">
      <alignment horizontal="right" vertical="center"/>
      <protection hidden="1"/>
    </xf>
    <xf numFmtId="0" fontId="31" fillId="33" borderId="14" xfId="0" applyFont="1" applyFill="1" applyBorder="1" applyAlignment="1" applyProtection="1">
      <alignment horizontal="center" vertical="center"/>
      <protection hidden="1"/>
    </xf>
    <xf numFmtId="1" fontId="27" fillId="33" borderId="14" xfId="0" applyNumberFormat="1" applyFont="1" applyFill="1" applyBorder="1" applyAlignment="1" applyProtection="1">
      <alignment horizontal="right" vertical="center"/>
      <protection hidden="1"/>
    </xf>
    <xf numFmtId="0" fontId="27" fillId="33" borderId="0" xfId="0" applyFont="1" applyFill="1" applyAlignment="1">
      <alignment horizontal="center" vertical="center"/>
    </xf>
    <xf numFmtId="187" fontId="27" fillId="33" borderId="0" xfId="63" applyNumberFormat="1" applyFont="1" applyFill="1" applyBorder="1" applyAlignment="1" applyProtection="1">
      <alignment vertical="center"/>
      <protection/>
    </xf>
    <xf numFmtId="180" fontId="27" fillId="33" borderId="0" xfId="0" applyNumberFormat="1" applyFont="1" applyFill="1" applyBorder="1" applyAlignment="1">
      <alignment vertical="center"/>
    </xf>
    <xf numFmtId="9" fontId="31" fillId="33" borderId="28" xfId="0" applyNumberFormat="1" applyFont="1" applyFill="1" applyBorder="1" applyAlignment="1" applyProtection="1">
      <alignment horizontal="center" vertical="center"/>
      <protection hidden="1"/>
    </xf>
    <xf numFmtId="0" fontId="31" fillId="33" borderId="0" xfId="0" applyFont="1" applyFill="1" applyBorder="1" applyAlignment="1" applyProtection="1">
      <alignment vertical="center" wrapText="1"/>
      <protection hidden="1"/>
    </xf>
    <xf numFmtId="0" fontId="40" fillId="33" borderId="23" xfId="0" applyFont="1" applyFill="1" applyBorder="1" applyAlignment="1">
      <alignment/>
    </xf>
    <xf numFmtId="0" fontId="40" fillId="33" borderId="29" xfId="0" applyFont="1" applyFill="1" applyBorder="1" applyAlignment="1">
      <alignment/>
    </xf>
    <xf numFmtId="0" fontId="40" fillId="33" borderId="30" xfId="0" applyFont="1" applyFill="1" applyBorder="1" applyAlignment="1">
      <alignment/>
    </xf>
    <xf numFmtId="0" fontId="40" fillId="33" borderId="31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78" fontId="0" fillId="33" borderId="30" xfId="42" applyFont="1" applyFill="1" applyBorder="1" applyAlignment="1" applyProtection="1">
      <alignment/>
      <protection/>
    </xf>
    <xf numFmtId="0" fontId="0" fillId="33" borderId="0" xfId="0" applyNumberFormat="1" applyFill="1" applyAlignment="1">
      <alignment/>
    </xf>
    <xf numFmtId="0" fontId="40" fillId="33" borderId="17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8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187" fontId="0" fillId="33" borderId="10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42" applyNumberFormat="1" applyFont="1" applyFill="1" applyBorder="1" applyAlignment="1" applyProtection="1">
      <alignment/>
      <protection/>
    </xf>
    <xf numFmtId="0" fontId="0" fillId="33" borderId="17" xfId="0" applyNumberFormat="1" applyFill="1" applyBorder="1" applyAlignment="1">
      <alignment/>
    </xf>
    <xf numFmtId="187" fontId="0" fillId="33" borderId="18" xfId="63" applyNumberFormat="1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178" fontId="0" fillId="33" borderId="18" xfId="42" applyFont="1" applyFill="1" applyBorder="1" applyAlignment="1" applyProtection="1">
      <alignment/>
      <protection/>
    </xf>
    <xf numFmtId="0" fontId="0" fillId="33" borderId="25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178" fontId="0" fillId="33" borderId="33" xfId="42" applyFont="1" applyFill="1" applyBorder="1" applyAlignment="1" applyProtection="1">
      <alignment/>
      <protection/>
    </xf>
    <xf numFmtId="0" fontId="56" fillId="33" borderId="0" xfId="0" applyFont="1" applyFill="1" applyAlignment="1">
      <alignment/>
    </xf>
    <xf numFmtId="0" fontId="0" fillId="33" borderId="30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7" xfId="0" applyFill="1" applyBorder="1" applyAlignment="1">
      <alignment/>
    </xf>
    <xf numFmtId="187" fontId="0" fillId="33" borderId="32" xfId="0" applyNumberFormat="1" applyFill="1" applyBorder="1" applyAlignment="1">
      <alignment/>
    </xf>
    <xf numFmtId="187" fontId="57" fillId="33" borderId="33" xfId="0" applyNumberFormat="1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3" borderId="25" xfId="42" applyNumberFormat="1" applyFont="1" applyFill="1" applyBorder="1" applyAlignment="1" applyProtection="1">
      <alignment/>
      <protection/>
    </xf>
    <xf numFmtId="181" fontId="0" fillId="33" borderId="0" xfId="0" applyNumberFormat="1" applyFill="1" applyAlignment="1">
      <alignment/>
    </xf>
    <xf numFmtId="0" fontId="27" fillId="33" borderId="0" xfId="0" applyFont="1" applyFill="1" applyBorder="1" applyAlignment="1">
      <alignment horizontal="left"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right"/>
    </xf>
    <xf numFmtId="1" fontId="27" fillId="33" borderId="14" xfId="42" applyNumberFormat="1" applyFont="1" applyFill="1" applyBorder="1" applyAlignment="1" applyProtection="1">
      <alignment horizontal="right"/>
      <protection locked="0"/>
    </xf>
    <xf numFmtId="0" fontId="27" fillId="33" borderId="14" xfId="42" applyNumberFormat="1" applyFont="1" applyFill="1" applyBorder="1" applyAlignment="1" applyProtection="1">
      <alignment horizontal="right"/>
      <protection locked="0"/>
    </xf>
    <xf numFmtId="9" fontId="27" fillId="33" borderId="0" xfId="0" applyNumberFormat="1" applyFont="1" applyFill="1" applyBorder="1" applyAlignment="1">
      <alignment horizontal="left"/>
    </xf>
    <xf numFmtId="180" fontId="31" fillId="33" borderId="14" xfId="42" applyNumberFormat="1" applyFont="1" applyFill="1" applyBorder="1" applyAlignment="1" applyProtection="1">
      <alignment horizontal="left"/>
      <protection hidden="1"/>
    </xf>
    <xf numFmtId="1" fontId="27" fillId="33" borderId="14" xfId="42" applyNumberFormat="1" applyFont="1" applyFill="1" applyBorder="1" applyAlignment="1" applyProtection="1">
      <alignment horizontal="right"/>
      <protection hidden="1"/>
    </xf>
    <xf numFmtId="0" fontId="0" fillId="33" borderId="14" xfId="0" applyFont="1" applyFill="1" applyBorder="1" applyAlignment="1">
      <alignment horizontal="left"/>
    </xf>
    <xf numFmtId="1" fontId="0" fillId="33" borderId="14" xfId="42" applyNumberFormat="1" applyFont="1" applyFill="1" applyBorder="1" applyAlignment="1" applyProtection="1">
      <alignment horizontal="right"/>
      <protection hidden="1"/>
    </xf>
    <xf numFmtId="0" fontId="27" fillId="33" borderId="14" xfId="0" applyFont="1" applyFill="1" applyBorder="1" applyAlignment="1" applyProtection="1">
      <alignment horizontal="left"/>
      <protection hidden="1"/>
    </xf>
    <xf numFmtId="0" fontId="31" fillId="33" borderId="0" xfId="0" applyFont="1" applyFill="1" applyBorder="1" applyAlignment="1">
      <alignment horizontal="left"/>
    </xf>
    <xf numFmtId="0" fontId="46" fillId="33" borderId="14" xfId="0" applyFont="1" applyFill="1" applyBorder="1" applyAlignment="1">
      <alignment horizontal="left"/>
    </xf>
    <xf numFmtId="1" fontId="31" fillId="33" borderId="14" xfId="42" applyNumberFormat="1" applyFont="1" applyFill="1" applyBorder="1" applyAlignment="1" applyProtection="1">
      <alignment horizontal="right"/>
      <protection hidden="1"/>
    </xf>
    <xf numFmtId="1" fontId="31" fillId="33" borderId="14" xfId="0" applyNumberFormat="1" applyFont="1" applyFill="1" applyBorder="1" applyAlignment="1" applyProtection="1">
      <alignment horizontal="right"/>
      <protection hidden="1"/>
    </xf>
    <xf numFmtId="0" fontId="31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right"/>
    </xf>
    <xf numFmtId="0" fontId="31" fillId="33" borderId="14" xfId="0" applyFont="1" applyFill="1" applyBorder="1" applyAlignment="1">
      <alignment horizontal="right" vertical="center"/>
    </xf>
    <xf numFmtId="0" fontId="31" fillId="33" borderId="14" xfId="0" applyFont="1" applyFill="1" applyBorder="1" applyAlignment="1">
      <alignment horizontal="right"/>
    </xf>
    <xf numFmtId="1" fontId="27" fillId="33" borderId="14" xfId="0" applyNumberFormat="1" applyFont="1" applyFill="1" applyBorder="1" applyAlignment="1" applyProtection="1">
      <alignment horizontal="left"/>
      <protection hidden="1"/>
    </xf>
    <xf numFmtId="1" fontId="27" fillId="33" borderId="14" xfId="42" applyNumberFormat="1" applyFont="1" applyFill="1" applyBorder="1" applyAlignment="1" applyProtection="1">
      <alignment horizontal="center"/>
      <protection hidden="1"/>
    </xf>
    <xf numFmtId="0" fontId="27" fillId="33" borderId="0" xfId="0" applyFont="1" applyFill="1" applyBorder="1" applyAlignment="1" applyProtection="1">
      <alignment horizontal="left"/>
      <protection hidden="1"/>
    </xf>
    <xf numFmtId="1" fontId="31" fillId="33" borderId="14" xfId="0" applyNumberFormat="1" applyFont="1" applyFill="1" applyBorder="1" applyAlignment="1" applyProtection="1">
      <alignment horizontal="left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0" fontId="27" fillId="33" borderId="0" xfId="0" applyFont="1" applyFill="1" applyBorder="1" applyAlignment="1" applyProtection="1">
      <alignment horizontal="right"/>
      <protection hidden="1"/>
    </xf>
    <xf numFmtId="0" fontId="27" fillId="33" borderId="10" xfId="0" applyFont="1" applyFill="1" applyBorder="1" applyAlignment="1">
      <alignment horizontal="left"/>
    </xf>
    <xf numFmtId="10" fontId="27" fillId="33" borderId="10" xfId="0" applyNumberFormat="1" applyFont="1" applyFill="1" applyBorder="1" applyAlignment="1">
      <alignment horizontal="left"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/>
    </xf>
    <xf numFmtId="187" fontId="0" fillId="33" borderId="10" xfId="0" applyNumberFormat="1" applyFon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0" fontId="0" fillId="33" borderId="17" xfId="0" applyNumberFormat="1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187" fontId="57" fillId="33" borderId="10" xfId="0" applyNumberFormat="1" applyFont="1" applyFill="1" applyBorder="1" applyAlignment="1">
      <alignment/>
    </xf>
    <xf numFmtId="181" fontId="0" fillId="33" borderId="18" xfId="42" applyNumberFormat="1" applyFont="1" applyFill="1" applyBorder="1" applyAlignment="1" applyProtection="1">
      <alignment/>
      <protection/>
    </xf>
    <xf numFmtId="0" fontId="40" fillId="33" borderId="23" xfId="0" applyFont="1" applyFill="1" applyBorder="1" applyAlignment="1">
      <alignment horizontal="center"/>
    </xf>
    <xf numFmtId="0" fontId="0" fillId="33" borderId="17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40" fillId="36" borderId="23" xfId="0" applyFont="1" applyFill="1" applyBorder="1" applyAlignment="1">
      <alignment/>
    </xf>
    <xf numFmtId="0" fontId="40" fillId="36" borderId="29" xfId="0" applyFont="1" applyFill="1" applyBorder="1" applyAlignment="1">
      <alignment/>
    </xf>
    <xf numFmtId="0" fontId="40" fillId="36" borderId="30" xfId="0" applyFont="1" applyFill="1" applyBorder="1" applyAlignment="1">
      <alignment/>
    </xf>
    <xf numFmtId="0" fontId="0" fillId="36" borderId="23" xfId="0" applyFont="1" applyFill="1" applyBorder="1" applyAlignment="1">
      <alignment/>
    </xf>
    <xf numFmtId="0" fontId="40" fillId="36" borderId="17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40" fillId="36" borderId="18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187" fontId="60" fillId="36" borderId="10" xfId="0" applyNumberFormat="1" applyFont="1" applyFill="1" applyBorder="1" applyAlignment="1">
      <alignment horizontal="center" vertical="center" wrapText="1"/>
    </xf>
    <xf numFmtId="187" fontId="0" fillId="36" borderId="10" xfId="0" applyNumberFormat="1" applyFont="1" applyFill="1" applyBorder="1" applyAlignment="1">
      <alignment/>
    </xf>
    <xf numFmtId="187" fontId="0" fillId="36" borderId="18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7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0" fillId="36" borderId="33" xfId="0" applyFont="1" applyFill="1" applyBorder="1" applyAlignment="1">
      <alignment/>
    </xf>
    <xf numFmtId="181" fontId="0" fillId="37" borderId="30" xfId="42" applyNumberFormat="1" applyFont="1" applyFill="1" applyBorder="1" applyAlignment="1" applyProtection="1">
      <alignment/>
      <protection/>
    </xf>
    <xf numFmtId="0" fontId="0" fillId="38" borderId="18" xfId="0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0" fillId="40" borderId="18" xfId="0" applyFont="1" applyFill="1" applyBorder="1" applyAlignment="1">
      <alignment/>
    </xf>
    <xf numFmtId="187" fontId="0" fillId="41" borderId="18" xfId="63" applyNumberFormat="1" applyFont="1" applyFill="1" applyBorder="1" applyAlignment="1" applyProtection="1">
      <alignment/>
      <protection/>
    </xf>
    <xf numFmtId="181" fontId="0" fillId="42" borderId="18" xfId="42" applyNumberFormat="1" applyFont="1" applyFill="1" applyBorder="1" applyAlignment="1" applyProtection="1">
      <alignment/>
      <protection/>
    </xf>
    <xf numFmtId="0" fontId="27" fillId="33" borderId="35" xfId="0" applyFont="1" applyFill="1" applyBorder="1" applyAlignment="1">
      <alignment horizontal="center"/>
    </xf>
    <xf numFmtId="1" fontId="27" fillId="33" borderId="35" xfId="0" applyNumberFormat="1" applyFont="1" applyFill="1" applyBorder="1" applyAlignment="1">
      <alignment horizontal="center"/>
    </xf>
    <xf numFmtId="0" fontId="27" fillId="33" borderId="36" xfId="0" applyFont="1" applyFill="1" applyBorder="1" applyAlignment="1">
      <alignment vertical="center"/>
    </xf>
    <xf numFmtId="9" fontId="27" fillId="33" borderId="36" xfId="0" applyNumberFormat="1" applyFont="1" applyFill="1" applyBorder="1" applyAlignment="1">
      <alignment vertical="center"/>
    </xf>
    <xf numFmtId="0" fontId="27" fillId="33" borderId="36" xfId="0" applyFont="1" applyFill="1" applyBorder="1" applyAlignment="1">
      <alignment horizontal="center" vertical="center"/>
    </xf>
    <xf numFmtId="10" fontId="27" fillId="33" borderId="36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/>
    </xf>
    <xf numFmtId="0" fontId="31" fillId="33" borderId="36" xfId="0" applyFont="1" applyFill="1" applyBorder="1" applyAlignment="1">
      <alignment vertical="center"/>
    </xf>
    <xf numFmtId="9" fontId="31" fillId="33" borderId="36" xfId="0" applyNumberFormat="1" applyFont="1" applyFill="1" applyBorder="1" applyAlignment="1">
      <alignment vertical="center"/>
    </xf>
    <xf numFmtId="180" fontId="31" fillId="33" borderId="14" xfId="42" applyNumberFormat="1" applyFont="1" applyFill="1" applyBorder="1" applyAlignment="1" applyProtection="1">
      <alignment horizontal="center"/>
      <protection hidden="1"/>
    </xf>
    <xf numFmtId="0" fontId="52" fillId="33" borderId="14" xfId="0" applyFont="1" applyFill="1" applyBorder="1" applyAlignment="1">
      <alignment horizontal="center"/>
    </xf>
    <xf numFmtId="0" fontId="31" fillId="33" borderId="36" xfId="0" applyFont="1" applyFill="1" applyBorder="1" applyAlignment="1">
      <alignment horizontal="center" vertical="center"/>
    </xf>
    <xf numFmtId="9" fontId="27" fillId="33" borderId="36" xfId="0" applyNumberFormat="1" applyFont="1" applyFill="1" applyBorder="1" applyAlignment="1">
      <alignment horizontal="center" vertical="center"/>
    </xf>
    <xf numFmtId="10" fontId="33" fillId="33" borderId="14" xfId="0" applyNumberFormat="1" applyFont="1" applyFill="1" applyBorder="1" applyAlignment="1">
      <alignment horizontal="left"/>
    </xf>
    <xf numFmtId="180" fontId="31" fillId="33" borderId="15" xfId="42" applyNumberFormat="1" applyFont="1" applyFill="1" applyBorder="1" applyAlignment="1" applyProtection="1">
      <alignment horizontal="center"/>
      <protection hidden="1"/>
    </xf>
    <xf numFmtId="1" fontId="27" fillId="33" borderId="15" xfId="0" applyNumberFormat="1" applyFont="1" applyFill="1" applyBorder="1" applyAlignment="1" applyProtection="1">
      <alignment horizontal="right"/>
      <protection hidden="1"/>
    </xf>
    <xf numFmtId="1" fontId="31" fillId="33" borderId="15" xfId="0" applyNumberFormat="1" applyFont="1" applyFill="1" applyBorder="1" applyAlignment="1" applyProtection="1">
      <alignment/>
      <protection hidden="1"/>
    </xf>
    <xf numFmtId="180" fontId="27" fillId="33" borderId="14" xfId="0" applyNumberFormat="1" applyFont="1" applyFill="1" applyBorder="1" applyAlignment="1">
      <alignment/>
    </xf>
    <xf numFmtId="1" fontId="27" fillId="33" borderId="14" xfId="0" applyNumberFormat="1" applyFont="1" applyFill="1" applyBorder="1" applyAlignment="1">
      <alignment/>
    </xf>
    <xf numFmtId="181" fontId="27" fillId="33" borderId="14" xfId="42" applyNumberFormat="1" applyFont="1" applyFill="1" applyBorder="1" applyAlignment="1" applyProtection="1">
      <alignment/>
      <protection locked="0"/>
    </xf>
    <xf numFmtId="1" fontId="27" fillId="33" borderId="14" xfId="63" applyNumberFormat="1" applyFont="1" applyFill="1" applyBorder="1" applyAlignment="1" applyProtection="1">
      <alignment/>
      <protection locked="0"/>
    </xf>
    <xf numFmtId="9" fontId="27" fillId="33" borderId="14" xfId="42" applyNumberFormat="1" applyFont="1" applyFill="1" applyBorder="1" applyAlignment="1" applyProtection="1">
      <alignment horizontal="center"/>
      <protection locked="0"/>
    </xf>
    <xf numFmtId="180" fontId="31" fillId="33" borderId="0" xfId="42" applyNumberFormat="1" applyFont="1" applyFill="1" applyBorder="1" applyAlignment="1" applyProtection="1">
      <alignment/>
      <protection hidden="1"/>
    </xf>
    <xf numFmtId="180" fontId="31" fillId="33" borderId="28" xfId="42" applyNumberFormat="1" applyFont="1" applyFill="1" applyBorder="1" applyAlignment="1" applyProtection="1">
      <alignment horizontal="right"/>
      <protection hidden="1"/>
    </xf>
    <xf numFmtId="0" fontId="31" fillId="33" borderId="28" xfId="0" applyFont="1" applyFill="1" applyBorder="1" applyAlignment="1" applyProtection="1">
      <alignment horizontal="center"/>
      <protection hidden="1"/>
    </xf>
    <xf numFmtId="0" fontId="31" fillId="33" borderId="28" xfId="0" applyFont="1" applyFill="1" applyBorder="1" applyAlignment="1">
      <alignment horizontal="center" vertical="center"/>
    </xf>
    <xf numFmtId="1" fontId="27" fillId="33" borderId="28" xfId="0" applyNumberFormat="1" applyFont="1" applyFill="1" applyBorder="1" applyAlignment="1" applyProtection="1">
      <alignment horizontal="right"/>
      <protection hidden="1"/>
    </xf>
    <xf numFmtId="1" fontId="27" fillId="33" borderId="28" xfId="42" applyNumberFormat="1" applyFont="1" applyFill="1" applyBorder="1" applyAlignment="1" applyProtection="1">
      <alignment/>
      <protection hidden="1"/>
    </xf>
    <xf numFmtId="1" fontId="31" fillId="33" borderId="28" xfId="42" applyNumberFormat="1" applyFont="1" applyFill="1" applyBorder="1" applyAlignment="1" applyProtection="1">
      <alignment/>
      <protection hidden="1"/>
    </xf>
    <xf numFmtId="1" fontId="27" fillId="33" borderId="28" xfId="0" applyNumberFormat="1" applyFont="1" applyFill="1" applyBorder="1" applyAlignment="1" applyProtection="1">
      <alignment/>
      <protection hidden="1"/>
    </xf>
    <xf numFmtId="1" fontId="31" fillId="33" borderId="28" xfId="0" applyNumberFormat="1" applyFont="1" applyFill="1" applyBorder="1" applyAlignment="1" applyProtection="1">
      <alignment/>
      <protection hidden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1" fontId="0" fillId="33" borderId="14" xfId="42" applyNumberFormat="1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>
      <alignment vertical="center"/>
    </xf>
    <xf numFmtId="0" fontId="0" fillId="33" borderId="14" xfId="42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vertical="center"/>
    </xf>
    <xf numFmtId="0" fontId="65" fillId="33" borderId="14" xfId="0" applyFont="1" applyFill="1" applyBorder="1" applyAlignment="1">
      <alignment vertical="center"/>
    </xf>
    <xf numFmtId="0" fontId="0" fillId="33" borderId="14" xfId="0" applyFont="1" applyFill="1" applyBorder="1" applyAlignment="1" applyProtection="1">
      <alignment vertical="center"/>
      <protection/>
    </xf>
    <xf numFmtId="1" fontId="0" fillId="33" borderId="14" xfId="42" applyNumberFormat="1" applyFont="1" applyFill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vertical="center"/>
      <protection locked="0"/>
    </xf>
    <xf numFmtId="0" fontId="40" fillId="33" borderId="14" xfId="0" applyFont="1" applyFill="1" applyBorder="1" applyAlignment="1">
      <alignment vertical="center"/>
    </xf>
    <xf numFmtId="0" fontId="40" fillId="33" borderId="14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vertical="center"/>
      <protection hidden="1"/>
    </xf>
    <xf numFmtId="9" fontId="0" fillId="33" borderId="14" xfId="63" applyNumberFormat="1" applyFont="1" applyFill="1" applyBorder="1" applyAlignment="1" applyProtection="1">
      <alignment horizontal="center" vertical="center"/>
      <protection locked="0"/>
    </xf>
    <xf numFmtId="9" fontId="0" fillId="33" borderId="14" xfId="42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vertical="center"/>
      <protection hidden="1"/>
    </xf>
    <xf numFmtId="180" fontId="0" fillId="33" borderId="0" xfId="42" applyNumberFormat="1" applyFont="1" applyFill="1" applyBorder="1" applyAlignment="1" applyProtection="1">
      <alignment horizontal="center" vertical="center"/>
      <protection hidden="1"/>
    </xf>
    <xf numFmtId="180" fontId="0" fillId="33" borderId="0" xfId="42" applyNumberFormat="1" applyFont="1" applyFill="1" applyBorder="1" applyAlignment="1" applyProtection="1">
      <alignment vertical="center"/>
      <protection hidden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180" fontId="40" fillId="33" borderId="14" xfId="42" applyNumberFormat="1" applyFont="1" applyFill="1" applyBorder="1" applyAlignment="1" applyProtection="1">
      <alignment horizontal="right" vertical="center"/>
      <protection hidden="1"/>
    </xf>
    <xf numFmtId="0" fontId="40" fillId="33" borderId="14" xfId="0" applyFont="1" applyFill="1" applyBorder="1" applyAlignment="1" applyProtection="1">
      <alignment horizontal="center" vertical="center"/>
      <protection hidden="1"/>
    </xf>
    <xf numFmtId="1" fontId="0" fillId="33" borderId="14" xfId="0" applyNumberFormat="1" applyFont="1" applyFill="1" applyBorder="1" applyAlignment="1" applyProtection="1">
      <alignment horizontal="right" vertical="center"/>
      <protection hidden="1"/>
    </xf>
    <xf numFmtId="1" fontId="40" fillId="33" borderId="14" xfId="42" applyNumberFormat="1" applyFont="1" applyFill="1" applyBorder="1" applyAlignment="1" applyProtection="1">
      <alignment vertical="center"/>
      <protection hidden="1"/>
    </xf>
    <xf numFmtId="1" fontId="0" fillId="33" borderId="14" xfId="0" applyNumberFormat="1" applyFont="1" applyFill="1" applyBorder="1" applyAlignment="1" applyProtection="1">
      <alignment vertical="center"/>
      <protection hidden="1"/>
    </xf>
    <xf numFmtId="1" fontId="52" fillId="33" borderId="14" xfId="0" applyNumberFormat="1" applyFont="1" applyFill="1" applyBorder="1" applyAlignment="1" applyProtection="1">
      <alignment vertical="center"/>
      <protection hidden="1"/>
    </xf>
    <xf numFmtId="1" fontId="52" fillId="33" borderId="14" xfId="42" applyNumberFormat="1" applyFont="1" applyFill="1" applyBorder="1" applyAlignment="1" applyProtection="1">
      <alignment vertical="center"/>
      <protection hidden="1"/>
    </xf>
    <xf numFmtId="187" fontId="0" fillId="33" borderId="0" xfId="63" applyNumberFormat="1" applyFont="1" applyFill="1" applyBorder="1" applyAlignment="1" applyProtection="1">
      <alignment vertical="center"/>
      <protection/>
    </xf>
    <xf numFmtId="180" fontId="0" fillId="33" borderId="0" xfId="0" applyNumberFormat="1" applyFont="1" applyFill="1" applyBorder="1" applyAlignment="1">
      <alignment vertical="center"/>
    </xf>
    <xf numFmtId="9" fontId="27" fillId="33" borderId="0" xfId="0" applyNumberFormat="1" applyFont="1" applyFill="1" applyAlignment="1">
      <alignment vertical="center"/>
    </xf>
    <xf numFmtId="0" fontId="32" fillId="33" borderId="14" xfId="0" applyFont="1" applyFill="1" applyBorder="1" applyAlignment="1">
      <alignment vertical="center"/>
    </xf>
    <xf numFmtId="1" fontId="31" fillId="33" borderId="14" xfId="42" applyNumberFormat="1" applyFont="1" applyFill="1" applyBorder="1" applyAlignment="1" applyProtection="1">
      <alignment horizontal="center" vertical="center"/>
      <protection hidden="1"/>
    </xf>
    <xf numFmtId="1" fontId="31" fillId="33" borderId="14" xfId="0" applyNumberFormat="1" applyFont="1" applyFill="1" applyBorder="1" applyAlignment="1" applyProtection="1">
      <alignment horizontal="center" vertical="center"/>
      <protection hidden="1"/>
    </xf>
    <xf numFmtId="1" fontId="31" fillId="33" borderId="14" xfId="0" applyNumberFormat="1" applyFont="1" applyFill="1" applyBorder="1" applyAlignment="1">
      <alignment horizontal="center" vertical="center"/>
    </xf>
    <xf numFmtId="180" fontId="31" fillId="33" borderId="0" xfId="0" applyNumberFormat="1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1" fontId="31" fillId="33" borderId="0" xfId="0" applyNumberFormat="1" applyFont="1" applyFill="1" applyAlignment="1">
      <alignment/>
    </xf>
    <xf numFmtId="0" fontId="36" fillId="33" borderId="37" xfId="0" applyFont="1" applyFill="1" applyBorder="1" applyAlignment="1">
      <alignment horizontal="center" vertical="center" wrapText="1"/>
    </xf>
    <xf numFmtId="1" fontId="113" fillId="33" borderId="14" xfId="42" applyNumberFormat="1" applyFont="1" applyFill="1" applyBorder="1" applyAlignment="1" applyProtection="1">
      <alignment vertical="center"/>
      <protection hidden="1"/>
    </xf>
    <xf numFmtId="9" fontId="19" fillId="33" borderId="14" xfId="63" applyNumberFormat="1" applyFont="1" applyFill="1" applyBorder="1" applyAlignment="1" applyProtection="1">
      <alignment horizontal="center"/>
      <protection locked="0"/>
    </xf>
    <xf numFmtId="9" fontId="19" fillId="33" borderId="14" xfId="0" applyNumberFormat="1" applyFont="1" applyFill="1" applyBorder="1" applyAlignment="1" applyProtection="1">
      <alignment horizontal="center" vertical="center"/>
      <protection locked="0"/>
    </xf>
    <xf numFmtId="0" fontId="9" fillId="33" borderId="38" xfId="54" applyNumberFormat="1" applyFont="1" applyFill="1" applyBorder="1" applyAlignment="1" applyProtection="1">
      <alignment horizontal="center" vertical="center"/>
      <protection/>
    </xf>
    <xf numFmtId="0" fontId="114" fillId="43" borderId="10" xfId="0" applyFont="1" applyFill="1" applyBorder="1" applyAlignment="1">
      <alignment horizontal="center"/>
    </xf>
    <xf numFmtId="0" fontId="68" fillId="43" borderId="10" xfId="0" applyFont="1" applyFill="1" applyBorder="1" applyAlignment="1">
      <alignment/>
    </xf>
    <xf numFmtId="0" fontId="69" fillId="33" borderId="24" xfId="0" applyFont="1" applyFill="1" applyBorder="1" applyAlignment="1">
      <alignment/>
    </xf>
    <xf numFmtId="0" fontId="69" fillId="33" borderId="17" xfId="0" applyFont="1" applyFill="1" applyBorder="1" applyAlignment="1">
      <alignment/>
    </xf>
    <xf numFmtId="0" fontId="69" fillId="33" borderId="10" xfId="0" applyFont="1" applyFill="1" applyBorder="1" applyAlignment="1">
      <alignment/>
    </xf>
    <xf numFmtId="0" fontId="69" fillId="33" borderId="18" xfId="0" applyFont="1" applyFill="1" applyBorder="1" applyAlignment="1">
      <alignment/>
    </xf>
    <xf numFmtId="181" fontId="114" fillId="43" borderId="18" xfId="42" applyNumberFormat="1" applyFont="1" applyFill="1" applyBorder="1" applyAlignment="1" applyProtection="1">
      <alignment vertical="center"/>
      <protection/>
    </xf>
    <xf numFmtId="181" fontId="114" fillId="43" borderId="33" xfId="42" applyNumberFormat="1" applyFont="1" applyFill="1" applyBorder="1" applyAlignment="1" applyProtection="1">
      <alignment vertical="center"/>
      <protection/>
    </xf>
    <xf numFmtId="181" fontId="114" fillId="43" borderId="18" xfId="42" applyNumberFormat="1" applyFont="1" applyFill="1" applyBorder="1" applyAlignment="1" applyProtection="1">
      <alignment/>
      <protection/>
    </xf>
    <xf numFmtId="181" fontId="114" fillId="43" borderId="33" xfId="42" applyNumberFormat="1" applyFont="1" applyFill="1" applyBorder="1" applyAlignment="1" applyProtection="1">
      <alignment/>
      <protection/>
    </xf>
    <xf numFmtId="181" fontId="113" fillId="43" borderId="33" xfId="42" applyNumberFormat="1" applyFont="1" applyFill="1" applyBorder="1" applyAlignment="1" applyProtection="1">
      <alignment/>
      <protection/>
    </xf>
    <xf numFmtId="0" fontId="115" fillId="43" borderId="10" xfId="0" applyFont="1" applyFill="1" applyBorder="1" applyAlignment="1">
      <alignment/>
    </xf>
    <xf numFmtId="0" fontId="70" fillId="33" borderId="10" xfId="0" applyFont="1" applyFill="1" applyBorder="1" applyAlignment="1">
      <alignment/>
    </xf>
    <xf numFmtId="0" fontId="70" fillId="33" borderId="18" xfId="0" applyFont="1" applyFill="1" applyBorder="1" applyAlignment="1">
      <alignment/>
    </xf>
    <xf numFmtId="0" fontId="70" fillId="33" borderId="23" xfId="0" applyFont="1" applyFill="1" applyBorder="1" applyAlignment="1">
      <alignment horizontal="center"/>
    </xf>
    <xf numFmtId="0" fontId="70" fillId="33" borderId="17" xfId="0" applyFont="1" applyFill="1" applyBorder="1" applyAlignment="1">
      <alignment horizontal="center"/>
    </xf>
    <xf numFmtId="178" fontId="114" fillId="44" borderId="33" xfId="42" applyFont="1" applyFill="1" applyBorder="1" applyAlignment="1" applyProtection="1">
      <alignment/>
      <protection/>
    </xf>
    <xf numFmtId="0" fontId="116" fillId="43" borderId="10" xfId="0" applyFont="1" applyFill="1" applyBorder="1" applyAlignment="1">
      <alignment/>
    </xf>
    <xf numFmtId="0" fontId="9" fillId="33" borderId="21" xfId="54" applyNumberFormat="1" applyFont="1" applyFill="1" applyBorder="1" applyAlignment="1" applyProtection="1">
      <alignment horizontal="center" vertical="center"/>
      <protection/>
    </xf>
    <xf numFmtId="10" fontId="19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8" fillId="33" borderId="10" xfId="54" applyNumberFormat="1" applyFill="1" applyBorder="1" applyAlignment="1" applyProtection="1">
      <alignment horizontal="center"/>
      <protection locked="0"/>
    </xf>
    <xf numFmtId="0" fontId="16" fillId="33" borderId="10" xfId="54" applyNumberFormat="1" applyFont="1" applyFill="1" applyBorder="1" applyAlignment="1" applyProtection="1">
      <alignment horizontal="center"/>
      <protection locked="0"/>
    </xf>
    <xf numFmtId="0" fontId="13" fillId="33" borderId="10" xfId="54" applyNumberFormat="1" applyFont="1" applyFill="1" applyBorder="1" applyAlignment="1" applyProtection="1">
      <alignment horizontal="center" vertical="center" wrapText="1"/>
      <protection/>
    </xf>
    <xf numFmtId="0" fontId="8" fillId="0" borderId="36" xfId="54" applyBorder="1" applyAlignment="1" applyProtection="1">
      <alignment/>
      <protection locked="0"/>
    </xf>
    <xf numFmtId="0" fontId="15" fillId="33" borderId="10" xfId="54" applyNumberFormat="1" applyFont="1" applyFill="1" applyBorder="1" applyAlignment="1" applyProtection="1">
      <alignment horizontal="center"/>
      <protection/>
    </xf>
    <xf numFmtId="0" fontId="10" fillId="33" borderId="10" xfId="54" applyNumberFormat="1" applyFont="1" applyFill="1" applyBorder="1" applyAlignment="1" applyProtection="1">
      <alignment horizontal="center"/>
      <protection locked="0"/>
    </xf>
    <xf numFmtId="0" fontId="61" fillId="33" borderId="10" xfId="54" applyNumberFormat="1" applyFont="1" applyFill="1" applyBorder="1" applyAlignment="1" applyProtection="1">
      <alignment horizontal="left" vertical="center"/>
      <protection locked="0"/>
    </xf>
    <xf numFmtId="0" fontId="61" fillId="33" borderId="13" xfId="54" applyNumberFormat="1" applyFont="1" applyFill="1" applyBorder="1" applyAlignment="1" applyProtection="1">
      <alignment horizontal="left" vertical="center"/>
      <protection locked="0"/>
    </xf>
    <xf numFmtId="0" fontId="61" fillId="33" borderId="12" xfId="54" applyNumberFormat="1" applyFont="1" applyFill="1" applyBorder="1" applyAlignment="1" applyProtection="1">
      <alignment horizontal="left" vertical="center"/>
      <protection locked="0"/>
    </xf>
    <xf numFmtId="0" fontId="10" fillId="33" borderId="10" xfId="54" applyNumberFormat="1" applyFont="1" applyFill="1" applyBorder="1" applyAlignment="1" applyProtection="1">
      <alignment horizontal="left" vertical="center"/>
      <protection locked="0"/>
    </xf>
    <xf numFmtId="0" fontId="3" fillId="45" borderId="10" xfId="0" applyFont="1" applyFill="1" applyBorder="1" applyAlignment="1">
      <alignment horizontal="center"/>
    </xf>
    <xf numFmtId="0" fontId="11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10" fillId="33" borderId="10" xfId="54" applyNumberFormat="1" applyFont="1" applyFill="1" applyBorder="1" applyAlignment="1" applyProtection="1">
      <alignment horizontal="left"/>
      <protection locked="0"/>
    </xf>
    <xf numFmtId="0" fontId="2" fillId="33" borderId="12" xfId="0" applyFont="1" applyFill="1" applyBorder="1" applyAlignment="1">
      <alignment horizontal="center"/>
    </xf>
    <xf numFmtId="0" fontId="18" fillId="33" borderId="10" xfId="58" applyFont="1" applyFill="1" applyBorder="1" applyAlignment="1" applyProtection="1">
      <alignment horizontal="center" vertical="center"/>
      <protection/>
    </xf>
    <xf numFmtId="0" fontId="19" fillId="33" borderId="10" xfId="58" applyFont="1" applyFill="1" applyBorder="1" applyAlignment="1" applyProtection="1">
      <alignment horizontal="center" vertical="center"/>
      <protection/>
    </xf>
    <xf numFmtId="0" fontId="8" fillId="0" borderId="0" xfId="54" applyNumberFormat="1" applyFont="1" applyFill="1" applyBorder="1" applyAlignment="1" applyProtection="1">
      <alignment horizontal="center" vertical="center"/>
      <protection/>
    </xf>
    <xf numFmtId="0" fontId="20" fillId="46" borderId="10" xfId="58" applyFont="1" applyFill="1" applyBorder="1" applyAlignment="1" applyProtection="1">
      <alignment horizontal="center" vertical="center"/>
      <protection/>
    </xf>
    <xf numFmtId="0" fontId="24" fillId="33" borderId="10" xfId="58" applyFont="1" applyFill="1" applyBorder="1" applyAlignment="1" applyProtection="1">
      <alignment horizontal="left" vertical="center" wrapText="1"/>
      <protection/>
    </xf>
    <xf numFmtId="0" fontId="26" fillId="45" borderId="10" xfId="58" applyFont="1" applyFill="1" applyBorder="1" applyAlignment="1" applyProtection="1">
      <alignment horizontal="center" vertical="center" wrapText="1"/>
      <protection/>
    </xf>
    <xf numFmtId="0" fontId="31" fillId="47" borderId="36" xfId="0" applyFont="1" applyFill="1" applyBorder="1" applyAlignment="1">
      <alignment horizontal="center" vertical="center"/>
    </xf>
    <xf numFmtId="180" fontId="31" fillId="33" borderId="14" xfId="42" applyNumberFormat="1" applyFont="1" applyFill="1" applyBorder="1" applyAlignment="1" applyProtection="1">
      <alignment horizontal="center"/>
      <protection hidden="1"/>
    </xf>
    <xf numFmtId="0" fontId="31" fillId="33" borderId="14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left"/>
    </xf>
    <xf numFmtId="0" fontId="27" fillId="33" borderId="14" xfId="0" applyFont="1" applyFill="1" applyBorder="1" applyAlignment="1">
      <alignment horizontal="center"/>
    </xf>
    <xf numFmtId="180" fontId="27" fillId="33" borderId="14" xfId="42" applyNumberFormat="1" applyFont="1" applyFill="1" applyBorder="1" applyAlignment="1" applyProtection="1">
      <alignment horizontal="left"/>
      <protection/>
    </xf>
    <xf numFmtId="0" fontId="28" fillId="45" borderId="14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/>
    </xf>
    <xf numFmtId="0" fontId="30" fillId="33" borderId="10" xfId="54" applyNumberFormat="1" applyFont="1" applyFill="1" applyBorder="1" applyAlignment="1" applyProtection="1">
      <alignment horizontal="center" vertical="center" wrapText="1"/>
      <protection/>
    </xf>
    <xf numFmtId="0" fontId="29" fillId="33" borderId="14" xfId="0" applyFont="1" applyFill="1" applyBorder="1" applyAlignment="1" applyProtection="1">
      <alignment horizontal="center"/>
      <protection locked="0"/>
    </xf>
    <xf numFmtId="0" fontId="39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1" fillId="33" borderId="14" xfId="0" applyFont="1" applyFill="1" applyBorder="1" applyAlignment="1">
      <alignment horizontal="left"/>
    </xf>
    <xf numFmtId="180" fontId="27" fillId="33" borderId="14" xfId="42" applyNumberFormat="1" applyFont="1" applyFill="1" applyBorder="1" applyAlignment="1" applyProtection="1">
      <alignment horizontal="left"/>
      <protection hidden="1"/>
    </xf>
    <xf numFmtId="180" fontId="27" fillId="33" borderId="14" xfId="0" applyNumberFormat="1" applyFont="1" applyFill="1" applyBorder="1" applyAlignment="1">
      <alignment horizontal="left"/>
    </xf>
    <xf numFmtId="0" fontId="27" fillId="33" borderId="26" xfId="0" applyFont="1" applyFill="1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27" fillId="47" borderId="36" xfId="0" applyFont="1" applyFill="1" applyBorder="1" applyAlignment="1">
      <alignment horizontal="center" vertical="center"/>
    </xf>
    <xf numFmtId="0" fontId="43" fillId="45" borderId="39" xfId="0" applyFont="1" applyFill="1" applyBorder="1" applyAlignment="1">
      <alignment horizontal="center"/>
    </xf>
    <xf numFmtId="0" fontId="118" fillId="48" borderId="14" xfId="0" applyFont="1" applyFill="1" applyBorder="1" applyAlignment="1">
      <alignment horizontal="center"/>
    </xf>
    <xf numFmtId="0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42" fillId="33" borderId="21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29" xfId="0" applyFont="1" applyFill="1" applyBorder="1" applyAlignment="1">
      <alignment horizontal="center"/>
    </xf>
    <xf numFmtId="0" fontId="41" fillId="33" borderId="30" xfId="0" applyFont="1" applyFill="1" applyBorder="1" applyAlignment="1">
      <alignment horizontal="center"/>
    </xf>
    <xf numFmtId="0" fontId="41" fillId="33" borderId="4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69" fillId="33" borderId="18" xfId="0" applyFont="1" applyFill="1" applyBorder="1" applyAlignment="1">
      <alignment horizontal="center"/>
    </xf>
    <xf numFmtId="0" fontId="119" fillId="47" borderId="10" xfId="0" applyFont="1" applyFill="1" applyBorder="1" applyAlignment="1">
      <alignment horizontal="center"/>
    </xf>
    <xf numFmtId="0" fontId="69" fillId="33" borderId="40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left"/>
    </xf>
    <xf numFmtId="0" fontId="27" fillId="33" borderId="15" xfId="0" applyFont="1" applyFill="1" applyBorder="1" applyAlignment="1">
      <alignment horizontal="left"/>
    </xf>
    <xf numFmtId="0" fontId="31" fillId="33" borderId="26" xfId="0" applyFont="1" applyFill="1" applyBorder="1" applyAlignment="1">
      <alignment horizontal="center"/>
    </xf>
    <xf numFmtId="0" fontId="31" fillId="33" borderId="41" xfId="0" applyFont="1" applyFill="1" applyBorder="1" applyAlignment="1">
      <alignment horizontal="center"/>
    </xf>
    <xf numFmtId="0" fontId="31" fillId="33" borderId="26" xfId="0" applyFont="1" applyFill="1" applyBorder="1" applyAlignment="1">
      <alignment horizontal="left"/>
    </xf>
    <xf numFmtId="0" fontId="31" fillId="33" borderId="15" xfId="0" applyFont="1" applyFill="1" applyBorder="1" applyAlignment="1">
      <alignment horizontal="left"/>
    </xf>
    <xf numFmtId="0" fontId="55" fillId="34" borderId="14" xfId="0" applyFont="1" applyFill="1" applyBorder="1" applyAlignment="1">
      <alignment horizontal="center"/>
    </xf>
    <xf numFmtId="0" fontId="8" fillId="33" borderId="10" xfId="54" applyNumberFormat="1" applyFont="1" applyFill="1" applyBorder="1" applyAlignment="1" applyProtection="1">
      <alignment horizontal="center" vertical="center" wrapText="1"/>
      <protection/>
    </xf>
    <xf numFmtId="0" fontId="31" fillId="33" borderId="14" xfId="0" applyFont="1" applyFill="1" applyBorder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31" fillId="33" borderId="36" xfId="0" applyFont="1" applyFill="1" applyBorder="1" applyAlignment="1">
      <alignment horizontal="center"/>
    </xf>
    <xf numFmtId="0" fontId="47" fillId="33" borderId="36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 vertical="center"/>
    </xf>
    <xf numFmtId="180" fontId="27" fillId="33" borderId="14" xfId="42" applyNumberFormat="1" applyFont="1" applyFill="1" applyBorder="1" applyAlignment="1" applyProtection="1">
      <alignment horizontal="left" vertical="center"/>
      <protection hidden="1"/>
    </xf>
    <xf numFmtId="180" fontId="31" fillId="45" borderId="14" xfId="42" applyNumberFormat="1" applyFont="1" applyFill="1" applyBorder="1" applyAlignment="1" applyProtection="1">
      <alignment horizontal="center"/>
      <protection hidden="1"/>
    </xf>
    <xf numFmtId="0" fontId="32" fillId="33" borderId="14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left" vertical="center"/>
    </xf>
    <xf numFmtId="0" fontId="43" fillId="33" borderId="14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center" vertical="center"/>
    </xf>
    <xf numFmtId="0" fontId="44" fillId="33" borderId="10" xfId="54" applyNumberFormat="1" applyFont="1" applyFill="1" applyBorder="1" applyAlignment="1" applyProtection="1">
      <alignment horizontal="center" vertical="center"/>
      <protection/>
    </xf>
    <xf numFmtId="0" fontId="29" fillId="33" borderId="14" xfId="0" applyFont="1" applyFill="1" applyBorder="1" applyAlignment="1" applyProtection="1">
      <alignment horizontal="center" vertical="center"/>
      <protection/>
    </xf>
    <xf numFmtId="0" fontId="29" fillId="33" borderId="14" xfId="0" applyFont="1" applyFill="1" applyBorder="1" applyAlignment="1" applyProtection="1">
      <alignment horizontal="center" vertical="center"/>
      <protection locked="0"/>
    </xf>
    <xf numFmtId="0" fontId="45" fillId="45" borderId="14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1" fillId="33" borderId="42" xfId="0" applyFont="1" applyFill="1" applyBorder="1" applyAlignment="1">
      <alignment horizontal="center"/>
    </xf>
    <xf numFmtId="0" fontId="47" fillId="33" borderId="42" xfId="0" applyFont="1" applyFill="1" applyBorder="1" applyAlignment="1">
      <alignment horizontal="center"/>
    </xf>
    <xf numFmtId="0" fontId="47" fillId="33" borderId="41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50" fillId="33" borderId="42" xfId="0" applyFont="1" applyFill="1" applyBorder="1" applyAlignment="1">
      <alignment horizontal="center"/>
    </xf>
    <xf numFmtId="0" fontId="50" fillId="33" borderId="41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180" fontId="27" fillId="33" borderId="14" xfId="42" applyNumberFormat="1" applyFont="1" applyFill="1" applyBorder="1" applyAlignment="1" applyProtection="1">
      <alignment horizontal="center"/>
      <protection hidden="1"/>
    </xf>
    <xf numFmtId="0" fontId="48" fillId="45" borderId="14" xfId="0" applyFont="1" applyFill="1" applyBorder="1" applyAlignment="1">
      <alignment horizontal="center"/>
    </xf>
    <xf numFmtId="0" fontId="49" fillId="33" borderId="10" xfId="54" applyNumberFormat="1" applyFont="1" applyFill="1" applyBorder="1" applyAlignment="1" applyProtection="1">
      <alignment horizontal="center" vertical="center"/>
      <protection/>
    </xf>
    <xf numFmtId="0" fontId="31" fillId="33" borderId="10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180" fontId="31" fillId="33" borderId="14" xfId="42" applyNumberFormat="1" applyFont="1" applyFill="1" applyBorder="1" applyAlignment="1" applyProtection="1">
      <alignment horizontal="center" vertical="center"/>
      <protection hidden="1"/>
    </xf>
    <xf numFmtId="10" fontId="32" fillId="33" borderId="14" xfId="0" applyNumberFormat="1" applyFont="1" applyFill="1" applyBorder="1" applyAlignment="1">
      <alignment horizontal="center"/>
    </xf>
    <xf numFmtId="0" fontId="31" fillId="45" borderId="14" xfId="0" applyFont="1" applyFill="1" applyBorder="1" applyAlignment="1">
      <alignment horizontal="center"/>
    </xf>
    <xf numFmtId="0" fontId="65" fillId="33" borderId="10" xfId="54" applyNumberFormat="1" applyFont="1" applyFill="1" applyBorder="1" applyAlignment="1" applyProtection="1">
      <alignment horizontal="center" vertical="center" wrapText="1"/>
      <protection/>
    </xf>
    <xf numFmtId="0" fontId="31" fillId="33" borderId="14" xfId="0" applyFont="1" applyFill="1" applyBorder="1" applyAlignment="1" applyProtection="1">
      <alignment horizontal="center"/>
      <protection locked="0"/>
    </xf>
    <xf numFmtId="0" fontId="40" fillId="33" borderId="14" xfId="0" applyFont="1" applyFill="1" applyBorder="1" applyAlignment="1">
      <alignment horizontal="center" vertical="center"/>
    </xf>
    <xf numFmtId="180" fontId="27" fillId="33" borderId="14" xfId="42" applyNumberFormat="1" applyFont="1" applyFill="1" applyBorder="1" applyAlignment="1" applyProtection="1">
      <alignment horizontal="center" vertical="center"/>
      <protection hidden="1"/>
    </xf>
    <xf numFmtId="0" fontId="52" fillId="45" borderId="14" xfId="0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 vertical="center"/>
    </xf>
    <xf numFmtId="0" fontId="64" fillId="33" borderId="10" xfId="54" applyNumberFormat="1" applyFont="1" applyFill="1" applyBorder="1" applyAlignment="1" applyProtection="1">
      <alignment horizontal="center" vertical="center"/>
      <protection/>
    </xf>
    <xf numFmtId="0" fontId="63" fillId="33" borderId="14" xfId="0" applyFont="1" applyFill="1" applyBorder="1" applyAlignment="1" applyProtection="1">
      <alignment horizontal="center" vertical="center"/>
      <protection locked="0"/>
    </xf>
    <xf numFmtId="0" fontId="70" fillId="33" borderId="10" xfId="0" applyFont="1" applyFill="1" applyBorder="1" applyAlignment="1">
      <alignment horizontal="center"/>
    </xf>
    <xf numFmtId="0" fontId="70" fillId="33" borderId="18" xfId="0" applyFont="1" applyFill="1" applyBorder="1" applyAlignment="1">
      <alignment horizontal="center"/>
    </xf>
    <xf numFmtId="0" fontId="42" fillId="33" borderId="29" xfId="0" applyFont="1" applyFill="1" applyBorder="1" applyAlignment="1">
      <alignment horizontal="center"/>
    </xf>
    <xf numFmtId="0" fontId="42" fillId="33" borderId="30" xfId="0" applyFont="1" applyFill="1" applyBorder="1" applyAlignment="1">
      <alignment horizontal="center"/>
    </xf>
    <xf numFmtId="0" fontId="119" fillId="47" borderId="34" xfId="0" applyFont="1" applyFill="1" applyBorder="1" applyAlignment="1">
      <alignment horizontal="center"/>
    </xf>
    <xf numFmtId="0" fontId="70" fillId="33" borderId="30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180" fontId="52" fillId="33" borderId="14" xfId="42" applyNumberFormat="1" applyFont="1" applyFill="1" applyBorder="1" applyAlignment="1" applyProtection="1">
      <alignment horizontal="center"/>
      <protection hidden="1"/>
    </xf>
    <xf numFmtId="0" fontId="52" fillId="33" borderId="14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180" fontId="19" fillId="33" borderId="14" xfId="42" applyNumberFormat="1" applyFont="1" applyFill="1" applyBorder="1" applyAlignment="1" applyProtection="1">
      <alignment horizontal="center"/>
      <protection hidden="1"/>
    </xf>
    <xf numFmtId="0" fontId="43" fillId="45" borderId="14" xfId="0" applyFont="1" applyFill="1" applyBorder="1" applyAlignment="1">
      <alignment horizontal="center"/>
    </xf>
    <xf numFmtId="0" fontId="63" fillId="33" borderId="14" xfId="0" applyFont="1" applyFill="1" applyBorder="1" applyAlignment="1">
      <alignment horizontal="center"/>
    </xf>
    <xf numFmtId="0" fontId="27" fillId="33" borderId="28" xfId="0" applyFont="1" applyFill="1" applyBorder="1" applyAlignment="1">
      <alignment horizontal="center"/>
    </xf>
    <xf numFmtId="0" fontId="31" fillId="33" borderId="28" xfId="0" applyFont="1" applyFill="1" applyBorder="1" applyAlignment="1">
      <alignment horizontal="center"/>
    </xf>
    <xf numFmtId="0" fontId="62" fillId="33" borderId="43" xfId="54" applyNumberFormat="1" applyFont="1" applyFill="1" applyBorder="1" applyAlignment="1" applyProtection="1">
      <alignment horizontal="center" vertical="center"/>
      <protection/>
    </xf>
    <xf numFmtId="0" fontId="31" fillId="33" borderId="14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80" fontId="0" fillId="33" borderId="14" xfId="42" applyNumberFormat="1" applyFont="1" applyFill="1" applyBorder="1" applyAlignment="1" applyProtection="1">
      <alignment horizontal="center" vertical="center"/>
      <protection hidden="1"/>
    </xf>
    <xf numFmtId="0" fontId="31" fillId="45" borderId="14" xfId="0" applyFont="1" applyFill="1" applyBorder="1" applyAlignment="1">
      <alignment horizontal="center" vertical="center"/>
    </xf>
    <xf numFmtId="0" fontId="64" fillId="33" borderId="0" xfId="54" applyNumberFormat="1" applyFont="1" applyFill="1" applyBorder="1" applyAlignment="1" applyProtection="1">
      <alignment horizontal="center" vertical="center"/>
      <protection/>
    </xf>
    <xf numFmtId="0" fontId="8" fillId="0" borderId="0" xfId="54" applyAlignment="1">
      <alignment horizontal="center"/>
    </xf>
    <xf numFmtId="0" fontId="40" fillId="33" borderId="28" xfId="0" applyFont="1" applyFill="1" applyBorder="1" applyAlignment="1" applyProtection="1">
      <alignment horizontal="center" vertical="center" wrapText="1"/>
      <protection hidden="1"/>
    </xf>
    <xf numFmtId="10" fontId="31" fillId="33" borderId="15" xfId="0" applyNumberFormat="1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180" fontId="50" fillId="33" borderId="14" xfId="42" applyNumberFormat="1" applyFont="1" applyFill="1" applyBorder="1" applyAlignment="1" applyProtection="1">
      <alignment horizontal="center" vertical="center"/>
      <protection hidden="1"/>
    </xf>
    <xf numFmtId="10" fontId="31" fillId="33" borderId="14" xfId="0" applyNumberFormat="1" applyFont="1" applyFill="1" applyBorder="1" applyAlignment="1">
      <alignment horizontal="center" vertical="center"/>
    </xf>
    <xf numFmtId="0" fontId="49" fillId="33" borderId="10" xfId="54" applyNumberFormat="1" applyFont="1" applyFill="1" applyBorder="1" applyAlignment="1" applyProtection="1">
      <alignment horizontal="center" vertical="center" wrapText="1"/>
      <protection/>
    </xf>
    <xf numFmtId="0" fontId="31" fillId="33" borderId="28" xfId="0" applyFont="1" applyFill="1" applyBorder="1" applyAlignment="1" applyProtection="1">
      <alignment horizontal="center" vertical="center"/>
      <protection hidden="1"/>
    </xf>
    <xf numFmtId="180" fontId="31" fillId="33" borderId="14" xfId="42" applyNumberFormat="1" applyFont="1" applyFill="1" applyBorder="1" applyAlignment="1" applyProtection="1">
      <alignment horizontal="left"/>
      <protection hidden="1"/>
    </xf>
    <xf numFmtId="0" fontId="32" fillId="33" borderId="14" xfId="0" applyFont="1" applyFill="1" applyBorder="1" applyAlignment="1">
      <alignment horizontal="left"/>
    </xf>
    <xf numFmtId="0" fontId="51" fillId="45" borderId="14" xfId="0" applyFont="1" applyFill="1" applyBorder="1" applyAlignment="1">
      <alignment horizontal="center"/>
    </xf>
    <xf numFmtId="0" fontId="120" fillId="33" borderId="14" xfId="0" applyFont="1" applyFill="1" applyBorder="1" applyAlignment="1">
      <alignment horizontal="center"/>
    </xf>
    <xf numFmtId="0" fontId="121" fillId="47" borderId="34" xfId="0" applyFont="1" applyFill="1" applyBorder="1" applyAlignment="1">
      <alignment horizontal="center"/>
    </xf>
    <xf numFmtId="0" fontId="113" fillId="47" borderId="0" xfId="0" applyFont="1" applyFill="1" applyBorder="1" applyAlignment="1">
      <alignment horizontal="center"/>
    </xf>
    <xf numFmtId="0" fontId="121" fillId="47" borderId="0" xfId="0" applyFont="1" applyFill="1" applyBorder="1" applyAlignment="1">
      <alignment horizontal="center"/>
    </xf>
    <xf numFmtId="0" fontId="113" fillId="33" borderId="0" xfId="0" applyFont="1" applyFill="1" applyBorder="1" applyAlignment="1">
      <alignment horizontal="center"/>
    </xf>
    <xf numFmtId="1" fontId="27" fillId="33" borderId="14" xfId="0" applyNumberFormat="1" applyFont="1" applyFill="1" applyBorder="1" applyAlignment="1">
      <alignment vertical="center"/>
    </xf>
    <xf numFmtId="1" fontId="27" fillId="49" borderId="14" xfId="42" applyNumberFormat="1" applyFont="1" applyFill="1" applyBorder="1" applyAlignment="1" applyProtection="1">
      <alignment vertical="center"/>
      <protection hidden="1"/>
    </xf>
    <xf numFmtId="1" fontId="0" fillId="49" borderId="14" xfId="42" applyNumberFormat="1" applyFont="1" applyFill="1" applyBorder="1" applyAlignment="1" applyProtection="1">
      <alignment vertical="center"/>
      <protection hidden="1"/>
    </xf>
    <xf numFmtId="1" fontId="27" fillId="49" borderId="14" xfId="42" applyNumberFormat="1" applyFont="1" applyFill="1" applyBorder="1" applyAlignment="1" applyProtection="1">
      <alignment/>
      <protection hidden="1"/>
    </xf>
    <xf numFmtId="1" fontId="31" fillId="49" borderId="14" xfId="42" applyNumberFormat="1" applyFont="1" applyFill="1" applyBorder="1" applyAlignment="1" applyProtection="1">
      <alignment/>
      <protection hidden="1"/>
    </xf>
    <xf numFmtId="1" fontId="52" fillId="49" borderId="14" xfId="42" applyNumberFormat="1" applyFont="1" applyFill="1" applyBorder="1" applyAlignment="1" applyProtection="1">
      <alignment/>
      <protection hidden="1"/>
    </xf>
    <xf numFmtId="1" fontId="54" fillId="49" borderId="14" xfId="42" applyNumberFormat="1" applyFont="1" applyFill="1" applyBorder="1" applyAlignment="1" applyProtection="1">
      <alignment/>
      <protection hidden="1"/>
    </xf>
    <xf numFmtId="1" fontId="19" fillId="49" borderId="14" xfId="42" applyNumberFormat="1" applyFont="1" applyFill="1" applyBorder="1" applyAlignment="1" applyProtection="1">
      <alignment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9</xdr:row>
      <xdr:rowOff>161925</xdr:rowOff>
    </xdr:from>
    <xdr:to>
      <xdr:col>9</xdr:col>
      <xdr:colOff>238125</xdr:colOff>
      <xdr:row>11</xdr:row>
      <xdr:rowOff>190500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6781800" y="2124075"/>
          <a:ext cx="190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ientalinsurance.org.in/" TargetMode="External" /><Relationship Id="rId2" Type="http://schemas.openxmlformats.org/officeDocument/2006/relationships/hyperlink" Target="http://10.244.0.120:8011/psp/HRSPROD" TargetMode="External" /><Relationship Id="rId3" Type="http://schemas.openxmlformats.org/officeDocument/2006/relationships/hyperlink" Target="http://www.irdaonline.org/Index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22" sqref="C22:G22"/>
    </sheetView>
  </sheetViews>
  <sheetFormatPr defaultColWidth="9.140625" defaultRowHeight="16.5" customHeight="1"/>
  <cols>
    <col min="1" max="1" width="21.421875" style="1" customWidth="1"/>
    <col min="2" max="2" width="9.421875" style="1" customWidth="1"/>
    <col min="3" max="6" width="9.140625" style="1" customWidth="1"/>
    <col min="7" max="7" width="15.28125" style="1" customWidth="1"/>
    <col min="8" max="16384" width="9.140625" style="1" customWidth="1"/>
  </cols>
  <sheetData>
    <row r="1" spans="1:7" ht="19.5" customHeight="1">
      <c r="A1" s="489" t="s">
        <v>0</v>
      </c>
      <c r="B1" s="489"/>
      <c r="C1" s="489"/>
      <c r="D1" s="489"/>
      <c r="E1" s="489"/>
      <c r="F1" s="489"/>
      <c r="G1" s="489"/>
    </row>
    <row r="2" spans="1:7" ht="19.5" customHeight="1">
      <c r="A2" s="490" t="s">
        <v>228</v>
      </c>
      <c r="B2" s="490"/>
      <c r="C2" s="490"/>
      <c r="D2" s="490"/>
      <c r="E2" s="490"/>
      <c r="F2" s="490"/>
      <c r="G2" s="490"/>
    </row>
    <row r="3" spans="1:7" ht="16.5" customHeight="1">
      <c r="A3" s="491" t="s">
        <v>1</v>
      </c>
      <c r="B3" s="491"/>
      <c r="C3" s="491"/>
      <c r="D3" s="491"/>
      <c r="E3" s="491"/>
      <c r="F3" s="491"/>
      <c r="G3" s="491"/>
    </row>
    <row r="4" spans="1:7" s="3" customFormat="1" ht="16.5" customHeight="1">
      <c r="A4" s="2" t="s">
        <v>2</v>
      </c>
      <c r="B4" s="478" t="s">
        <v>3</v>
      </c>
      <c r="C4" s="478"/>
      <c r="D4" s="478"/>
      <c r="E4" s="478"/>
      <c r="F4" s="478"/>
      <c r="G4" s="478"/>
    </row>
    <row r="5" spans="1:7" ht="16.5" customHeight="1">
      <c r="A5" s="4" t="s">
        <v>4</v>
      </c>
      <c r="B5" s="492" t="s">
        <v>5</v>
      </c>
      <c r="C5" s="492"/>
      <c r="D5" s="492"/>
      <c r="E5" s="492"/>
      <c r="F5" s="492"/>
      <c r="G5" s="492"/>
    </row>
    <row r="6" spans="1:7" ht="16.5" customHeight="1">
      <c r="A6" s="4" t="s">
        <v>6</v>
      </c>
      <c r="B6" s="492" t="s">
        <v>7</v>
      </c>
      <c r="C6" s="492"/>
      <c r="D6" s="492"/>
      <c r="E6" s="492"/>
      <c r="F6" s="492"/>
      <c r="G6" s="492"/>
    </row>
    <row r="7" spans="1:7" ht="16.5" customHeight="1">
      <c r="A7" s="493"/>
      <c r="B7" s="493"/>
      <c r="C7" s="493"/>
      <c r="D7" s="493"/>
      <c r="E7" s="493"/>
      <c r="F7" s="493"/>
      <c r="G7" s="493"/>
    </row>
    <row r="8" spans="1:7" ht="16.5" customHeight="1">
      <c r="A8" s="5"/>
      <c r="B8" s="6">
        <v>0</v>
      </c>
      <c r="C8" s="494" t="s">
        <v>8</v>
      </c>
      <c r="D8" s="494"/>
      <c r="E8" s="494"/>
      <c r="F8" s="494"/>
      <c r="G8" s="494"/>
    </row>
    <row r="9" spans="1:7" ht="16.5" customHeight="1">
      <c r="A9" s="495"/>
      <c r="B9" s="7">
        <v>1</v>
      </c>
      <c r="C9" s="487" t="s">
        <v>9</v>
      </c>
      <c r="D9" s="487"/>
      <c r="E9" s="487"/>
      <c r="F9" s="487"/>
      <c r="G9" s="487"/>
    </row>
    <row r="10" spans="1:7" ht="16.5" customHeight="1">
      <c r="A10" s="495"/>
      <c r="B10" s="8">
        <v>2</v>
      </c>
      <c r="C10" s="485" t="s">
        <v>10</v>
      </c>
      <c r="D10" s="485"/>
      <c r="E10" s="485"/>
      <c r="F10" s="485"/>
      <c r="G10" s="485"/>
    </row>
    <row r="11" spans="1:7" ht="16.5" customHeight="1">
      <c r="A11" s="495"/>
      <c r="B11" s="7">
        <v>3</v>
      </c>
      <c r="C11" s="485" t="s">
        <v>11</v>
      </c>
      <c r="D11" s="485"/>
      <c r="E11" s="485"/>
      <c r="F11" s="485"/>
      <c r="G11" s="485"/>
    </row>
    <row r="12" spans="1:7" ht="16.5" customHeight="1">
      <c r="A12" s="495"/>
      <c r="B12" s="8">
        <v>4</v>
      </c>
      <c r="C12" s="488" t="s">
        <v>12</v>
      </c>
      <c r="D12" s="488"/>
      <c r="E12" s="488"/>
      <c r="F12" s="488"/>
      <c r="G12" s="488"/>
    </row>
    <row r="13" spans="1:7" ht="16.5" customHeight="1">
      <c r="A13" s="495"/>
      <c r="B13" s="7">
        <v>5</v>
      </c>
      <c r="C13" s="488" t="s">
        <v>13</v>
      </c>
      <c r="D13" s="488"/>
      <c r="E13" s="488"/>
      <c r="F13" s="488"/>
      <c r="G13" s="488"/>
    </row>
    <row r="14" spans="1:7" ht="16.5" customHeight="1">
      <c r="A14" s="495"/>
      <c r="B14" s="8">
        <v>6</v>
      </c>
      <c r="C14" s="485" t="s">
        <v>14</v>
      </c>
      <c r="D14" s="485"/>
      <c r="E14" s="485"/>
      <c r="F14" s="485"/>
      <c r="G14" s="485"/>
    </row>
    <row r="15" spans="1:7" ht="16.5" customHeight="1">
      <c r="A15" s="495"/>
      <c r="B15" s="7">
        <v>7</v>
      </c>
      <c r="C15" s="485" t="s">
        <v>15</v>
      </c>
      <c r="D15" s="485"/>
      <c r="E15" s="485"/>
      <c r="F15" s="485"/>
      <c r="G15" s="485"/>
    </row>
    <row r="16" spans="1:7" ht="16.5" customHeight="1">
      <c r="A16" s="495"/>
      <c r="B16" s="8">
        <v>8</v>
      </c>
      <c r="C16" s="485" t="s">
        <v>16</v>
      </c>
      <c r="D16" s="485"/>
      <c r="E16" s="485"/>
      <c r="F16" s="485"/>
      <c r="G16" s="485"/>
    </row>
    <row r="17" spans="1:7" ht="16.5" customHeight="1">
      <c r="A17" s="495"/>
      <c r="B17" s="7">
        <v>9</v>
      </c>
      <c r="C17" s="486" t="s">
        <v>17</v>
      </c>
      <c r="D17" s="486"/>
      <c r="E17" s="486"/>
      <c r="F17" s="486"/>
      <c r="G17" s="486"/>
    </row>
    <row r="18" spans="1:7" ht="16.5" customHeight="1">
      <c r="A18" s="495"/>
      <c r="B18" s="457">
        <v>10</v>
      </c>
      <c r="C18" s="482" t="s">
        <v>18</v>
      </c>
      <c r="D18" s="482"/>
      <c r="E18" s="482"/>
      <c r="F18" s="482"/>
      <c r="G18" s="482"/>
    </row>
    <row r="19" spans="1:7" ht="16.5" customHeight="1">
      <c r="A19" s="495"/>
      <c r="B19" s="476">
        <v>11</v>
      </c>
      <c r="C19" s="482" t="s">
        <v>232</v>
      </c>
      <c r="D19" s="482"/>
      <c r="E19" s="482"/>
      <c r="F19" s="482"/>
      <c r="G19" s="482"/>
    </row>
    <row r="20" spans="1:7" ht="16.5" customHeight="1">
      <c r="A20" s="495"/>
      <c r="B20" s="7">
        <v>12</v>
      </c>
      <c r="C20" s="487" t="s">
        <v>19</v>
      </c>
      <c r="D20" s="487"/>
      <c r="E20" s="487"/>
      <c r="F20" s="487"/>
      <c r="G20" s="487"/>
    </row>
    <row r="21" spans="1:7" ht="16.5" customHeight="1">
      <c r="A21" s="495"/>
      <c r="B21" s="8">
        <v>13</v>
      </c>
      <c r="C21" s="485" t="s">
        <v>213</v>
      </c>
      <c r="D21" s="485"/>
      <c r="E21" s="485"/>
      <c r="F21" s="485"/>
      <c r="G21" s="485"/>
    </row>
    <row r="22" spans="1:7" ht="16.5" customHeight="1">
      <c r="A22" s="495"/>
      <c r="B22" s="7">
        <v>14</v>
      </c>
      <c r="C22" s="485" t="s">
        <v>20</v>
      </c>
      <c r="D22" s="485"/>
      <c r="E22" s="485"/>
      <c r="F22" s="485"/>
      <c r="G22" s="485"/>
    </row>
    <row r="23" spans="1:7" s="11" customFormat="1" ht="39.75" customHeight="1">
      <c r="A23" s="9" t="s">
        <v>21</v>
      </c>
      <c r="B23" s="10">
        <v>0.18</v>
      </c>
      <c r="C23" s="481" t="s">
        <v>22</v>
      </c>
      <c r="D23" s="481"/>
      <c r="E23" s="481"/>
      <c r="F23" s="481"/>
      <c r="G23" s="481"/>
    </row>
    <row r="24" spans="1:7" ht="16.5" customHeight="1">
      <c r="A24" s="483" t="s">
        <v>23</v>
      </c>
      <c r="B24" s="483"/>
      <c r="C24" s="483"/>
      <c r="D24" s="483"/>
      <c r="E24" s="483"/>
      <c r="F24" s="483"/>
      <c r="G24" s="483"/>
    </row>
    <row r="25" spans="1:7" ht="16.5" customHeight="1">
      <c r="A25" s="484" t="s">
        <v>24</v>
      </c>
      <c r="B25" s="484"/>
      <c r="C25" s="484"/>
      <c r="D25" s="484"/>
      <c r="E25" s="484"/>
      <c r="F25" s="484"/>
      <c r="G25" s="484"/>
    </row>
    <row r="26" spans="1:7" ht="16.5" customHeight="1">
      <c r="A26" s="479" t="s">
        <v>25</v>
      </c>
      <c r="B26" s="484"/>
      <c r="C26" s="484"/>
      <c r="D26" s="484"/>
      <c r="E26" s="484"/>
      <c r="F26" s="484"/>
      <c r="G26" s="484"/>
    </row>
    <row r="27" spans="1:7" ht="16.5" customHeight="1">
      <c r="A27" s="479" t="s">
        <v>26</v>
      </c>
      <c r="B27" s="480"/>
      <c r="C27" s="480"/>
      <c r="D27" s="480"/>
      <c r="E27" s="480"/>
      <c r="F27" s="480"/>
      <c r="G27" s="480"/>
    </row>
    <row r="28" spans="1:7" ht="16.5" customHeight="1">
      <c r="A28" s="478" t="s">
        <v>222</v>
      </c>
      <c r="B28" s="478"/>
      <c r="C28" s="478"/>
      <c r="D28" s="478"/>
      <c r="E28" s="478"/>
      <c r="F28" s="478"/>
      <c r="G28" s="478"/>
    </row>
    <row r="29" spans="1:7" ht="16.5" customHeight="1">
      <c r="A29" s="478" t="s">
        <v>227</v>
      </c>
      <c r="B29" s="478"/>
      <c r="C29" s="478"/>
      <c r="D29" s="478"/>
      <c r="E29" s="478"/>
      <c r="F29" s="478"/>
      <c r="G29" s="478"/>
    </row>
    <row r="30" spans="1:7" ht="16.5" customHeight="1">
      <c r="A30" s="478" t="s">
        <v>223</v>
      </c>
      <c r="B30" s="478"/>
      <c r="C30" s="478"/>
      <c r="D30" s="478"/>
      <c r="E30" s="478"/>
      <c r="F30" s="478"/>
      <c r="G30" s="478"/>
    </row>
  </sheetData>
  <sheetProtection selectLockedCells="1" selectUnlockedCells="1"/>
  <mergeCells count="31">
    <mergeCell ref="A9:A22"/>
    <mergeCell ref="C14:G14"/>
    <mergeCell ref="C15:G15"/>
    <mergeCell ref="A1:G1"/>
    <mergeCell ref="A2:G2"/>
    <mergeCell ref="A3:G3"/>
    <mergeCell ref="B4:G4"/>
    <mergeCell ref="B5:G5"/>
    <mergeCell ref="B6:G6"/>
    <mergeCell ref="A7:G7"/>
    <mergeCell ref="C8:G8"/>
    <mergeCell ref="C16:G16"/>
    <mergeCell ref="C17:G17"/>
    <mergeCell ref="C18:G18"/>
    <mergeCell ref="C20:G20"/>
    <mergeCell ref="C22:G22"/>
    <mergeCell ref="C9:G9"/>
    <mergeCell ref="C10:G10"/>
    <mergeCell ref="C11:G11"/>
    <mergeCell ref="C12:G12"/>
    <mergeCell ref="C13:G13"/>
    <mergeCell ref="A30:G30"/>
    <mergeCell ref="A27:G27"/>
    <mergeCell ref="C23:G23"/>
    <mergeCell ref="C19:G19"/>
    <mergeCell ref="A28:G28"/>
    <mergeCell ref="A29:G29"/>
    <mergeCell ref="A24:G24"/>
    <mergeCell ref="A25:G25"/>
    <mergeCell ref="A26:G26"/>
    <mergeCell ref="C21:G21"/>
  </mergeCells>
  <hyperlinks>
    <hyperlink ref="C8" location="NCB!A1" display="NCB RECOVERY"/>
    <hyperlink ref="C9" location="2 Wheeler!Print_Area" display="2 WHEELER "/>
    <hyperlink ref="C10" location="Pvt!Car.A1" display="PRIVATE CAR"/>
    <hyperlink ref="C11" location="Pvt!Car3 bundle .A1" display="PRIVATE CAR  3 YEAR "/>
    <hyperlink ref="C12" location="GCCV_PUBLIC!A1" display="GCCV PUBLIC CARRIER"/>
    <hyperlink ref="C13" location="GCCV_PRIVATE!A1" display="GCCV PRIVATE CARRIER"/>
    <hyperlink ref="C14" location="GCCV 3W Public!Print_Area" display="GCCV 3W PUBLIC CARRIER"/>
    <hyperlink ref="C15" location="GCCV 3W Private!Print_Area" display="GCCV 3W PRIVATE CARRIER"/>
    <hyperlink ref="C16" location="PCCV 3W up to 6 P!Print_Area" display="PCCV 3W UP TO 6 PASSENGER"/>
    <hyperlink ref="C17" location="PCCV 4W Up To 6 P!A1" display="PCCV  4 W UP TO 6 PASSENGER"/>
    <hyperlink ref="C20" location="PCCV Maxi &amp; Bus!Print_Area" display="PCCV MAXI AND LUXARY BUS"/>
    <hyperlink ref="C22" location="Misc  Class D!Print_Area" display="MISC CLASS - D VEHICLES"/>
    <hyperlink ref="A25" r:id="rId1" display="http://www.orientalinsurance.org.in"/>
    <hyperlink ref="A26" r:id="rId2" display="http://10.244.0.120:8011/psp/HRSPROD"/>
    <hyperlink ref="A27" r:id="rId3" display="http://www.irdaonline.org/Index.htm"/>
    <hyperlink ref="C9:G9" location="'2 Wheeler'!A1" display="2 WHEELER "/>
    <hyperlink ref="C11:G11" location="'Pvt.Car3 bundle '!A1" display="PRIVATE CAR  3 YEAR "/>
    <hyperlink ref="C10:G10" location="Pvt.Car!A1" display="PRIVATE CAR"/>
    <hyperlink ref="C14:G14" location="GCCV_Public!Print_Area" display="GCCV 3W PUBLIC CARRIER"/>
    <hyperlink ref="C15:G15" location="GCCV_Private!Print_Area" display="GCCV 3W PRIVATE CARRIER"/>
    <hyperlink ref="C16:G16" location="'PCCV 3W up to 6 P'!Print_Area" display="PCCV 3W UP TO 6 PASSENGER"/>
    <hyperlink ref="C17:G17" location="'PCCV 4W Up To 6 P'!A1" display="PCCV  4 W UP TO 6 PASSENGER"/>
    <hyperlink ref="C20:G20" location="'PCCV Maxi &amp; Bus'!Print_Area" display="PCCV MAXI AND LUXARY BUS"/>
    <hyperlink ref="C22:G22" location="'Misc  Class D'!Print_Area" display="MISC CLASS - D VEHICLES"/>
    <hyperlink ref="C21" location="PCCV Maxi &amp; Bus!Print_Area" display="PCCV MAXI AND LUXARY BUS"/>
    <hyperlink ref="C21:G21" location="'PCCV School Bus'!Print_Area" display="PCCV SCHOOL BUS"/>
    <hyperlink ref="C18:G18" location="'PCCV 3W 7 TO 17 P'!A1" display="PCCV  3 W 7 TO 18  PASSENGER"/>
    <hyperlink ref="C19:G19" location="'PCCV 3W exceed  18'!A1" display="PCCV  ABOVE 18  PASSENGER"/>
  </hyperlinks>
  <printOptions/>
  <pageMargins left="0.7" right="0.7" top="0.75" bottom="0.75" header="0.5118055555555555" footer="0.5118055555555555"/>
  <pageSetup horizontalDpi="300" verticalDpi="300" orientation="portrait" paperSize="9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A2" sqref="A2:H2"/>
    </sheetView>
  </sheetViews>
  <sheetFormatPr defaultColWidth="9.140625" defaultRowHeight="15.75" customHeight="1"/>
  <cols>
    <col min="1" max="1" width="29.421875" style="26" customWidth="1"/>
    <col min="2" max="2" width="5.57421875" style="26" customWidth="1"/>
    <col min="3" max="3" width="6.140625" style="27" customWidth="1"/>
    <col min="4" max="4" width="10.8515625" style="26" customWidth="1"/>
    <col min="5" max="5" width="3.28125" style="26" customWidth="1"/>
    <col min="6" max="6" width="23.7109375" style="26" customWidth="1"/>
    <col min="7" max="7" width="9.00390625" style="26" customWidth="1"/>
    <col min="8" max="8" width="11.140625" style="26" customWidth="1"/>
    <col min="9" max="9" width="9.8515625" style="26" customWidth="1"/>
    <col min="10" max="10" width="8.7109375" style="26" customWidth="1"/>
    <col min="11" max="11" width="8.00390625" style="26" customWidth="1"/>
    <col min="12" max="12" width="9.00390625" style="26" customWidth="1"/>
    <col min="13" max="13" width="8.57421875" style="26" customWidth="1"/>
    <col min="14" max="16384" width="9.140625" style="26" customWidth="1"/>
  </cols>
  <sheetData>
    <row r="1" spans="1:8" ht="15.75" customHeight="1">
      <c r="A1" s="533" t="s">
        <v>0</v>
      </c>
      <c r="B1" s="533"/>
      <c r="C1" s="533"/>
      <c r="D1" s="533"/>
      <c r="E1" s="533"/>
      <c r="F1" s="533"/>
      <c r="G1" s="533"/>
      <c r="H1" s="533"/>
    </row>
    <row r="2" spans="1:11" ht="20.25" customHeight="1">
      <c r="A2" s="553" t="s">
        <v>235</v>
      </c>
      <c r="B2" s="553"/>
      <c r="C2" s="553"/>
      <c r="D2" s="553"/>
      <c r="E2" s="553"/>
      <c r="F2" s="553"/>
      <c r="G2" s="553"/>
      <c r="H2" s="553"/>
      <c r="J2" s="554" t="s">
        <v>127</v>
      </c>
      <c r="K2" s="554"/>
    </row>
    <row r="3" spans="1:11" ht="15.75" customHeight="1">
      <c r="A3" s="30" t="s">
        <v>128</v>
      </c>
      <c r="B3" s="515"/>
      <c r="C3" s="515"/>
      <c r="D3" s="515"/>
      <c r="E3" s="515"/>
      <c r="F3" s="515"/>
      <c r="G3" s="515"/>
      <c r="H3" s="515"/>
      <c r="J3" s="554"/>
      <c r="K3" s="554"/>
    </row>
    <row r="4" spans="1:10" ht="15.75" customHeight="1">
      <c r="A4" s="30" t="s">
        <v>45</v>
      </c>
      <c r="B4" s="515"/>
      <c r="C4" s="515"/>
      <c r="D4" s="515"/>
      <c r="E4" s="515"/>
      <c r="F4" s="515"/>
      <c r="G4" s="515"/>
      <c r="H4" s="515"/>
      <c r="J4" s="120"/>
    </row>
    <row r="5" spans="1:8" ht="15.75" customHeight="1">
      <c r="A5" s="504" t="s">
        <v>46</v>
      </c>
      <c r="B5" s="504"/>
      <c r="C5" s="504"/>
      <c r="D5" s="504"/>
      <c r="E5" s="504"/>
      <c r="F5" s="504"/>
      <c r="G5" s="504"/>
      <c r="H5" s="504"/>
    </row>
    <row r="6" spans="1:10" ht="15.75" customHeight="1">
      <c r="A6" s="509" t="s">
        <v>47</v>
      </c>
      <c r="B6" s="509"/>
      <c r="C6" s="509"/>
      <c r="D6" s="34">
        <v>527000</v>
      </c>
      <c r="E6" s="510"/>
      <c r="F6" s="509" t="s">
        <v>53</v>
      </c>
      <c r="G6" s="509"/>
      <c r="H6" s="121">
        <v>2017</v>
      </c>
      <c r="J6" s="122"/>
    </row>
    <row r="7" spans="1:8" ht="15.75" customHeight="1">
      <c r="A7" s="509" t="s">
        <v>50</v>
      </c>
      <c r="B7" s="509"/>
      <c r="C7" s="509"/>
      <c r="D7" s="34">
        <v>0</v>
      </c>
      <c r="E7" s="510"/>
      <c r="F7" s="528" t="s">
        <v>48</v>
      </c>
      <c r="G7" s="528"/>
      <c r="H7" s="123" t="s">
        <v>49</v>
      </c>
    </row>
    <row r="8" spans="1:12" ht="15.75" customHeight="1">
      <c r="A8" s="509" t="s">
        <v>52</v>
      </c>
      <c r="B8" s="509"/>
      <c r="C8" s="509"/>
      <c r="D8" s="34">
        <v>0</v>
      </c>
      <c r="E8" s="510"/>
      <c r="F8" s="509" t="s">
        <v>129</v>
      </c>
      <c r="G8" s="509"/>
      <c r="H8" s="45">
        <v>1000</v>
      </c>
      <c r="L8" s="124"/>
    </row>
    <row r="9" spans="1:16" ht="15.75" customHeight="1">
      <c r="A9" s="509" t="s">
        <v>109</v>
      </c>
      <c r="B9" s="509"/>
      <c r="C9" s="509"/>
      <c r="D9" s="34">
        <v>0</v>
      </c>
      <c r="E9" s="510"/>
      <c r="F9" s="529" t="s">
        <v>130</v>
      </c>
      <c r="G9" s="529"/>
      <c r="H9" s="153" t="s">
        <v>131</v>
      </c>
      <c r="L9" s="124"/>
      <c r="N9" s="41"/>
      <c r="O9" s="41"/>
      <c r="P9" s="41"/>
    </row>
    <row r="10" spans="1:12" ht="15.75" customHeight="1">
      <c r="A10" s="503" t="s">
        <v>55</v>
      </c>
      <c r="B10" s="503"/>
      <c r="C10" s="503"/>
      <c r="D10" s="503"/>
      <c r="E10" s="503"/>
      <c r="F10" s="503"/>
      <c r="G10" s="503"/>
      <c r="H10" s="503"/>
      <c r="L10" s="124"/>
    </row>
    <row r="11" spans="1:12" ht="15.75" customHeight="1">
      <c r="A11" s="510" t="s">
        <v>56</v>
      </c>
      <c r="B11" s="510"/>
      <c r="C11" s="510"/>
      <c r="D11" s="510"/>
      <c r="E11" s="505"/>
      <c r="F11" s="510" t="s">
        <v>57</v>
      </c>
      <c r="G11" s="510"/>
      <c r="H11" s="510"/>
      <c r="L11" s="124"/>
    </row>
    <row r="12" spans="1:12" ht="15.75" customHeight="1">
      <c r="A12" s="126" t="s">
        <v>132</v>
      </c>
      <c r="B12" s="127"/>
      <c r="C12" s="36"/>
      <c r="D12" s="44">
        <f>+D6*CARCAL3!B8/100</f>
        <v>16816.57</v>
      </c>
      <c r="E12" s="505"/>
      <c r="F12" s="43" t="s">
        <v>99</v>
      </c>
      <c r="G12" s="45"/>
      <c r="H12" s="44">
        <f>+CARCAL3!B11</f>
        <v>6521</v>
      </c>
      <c r="L12" s="124"/>
    </row>
    <row r="13" spans="1:15" ht="15.75" customHeight="1">
      <c r="A13" s="509" t="s">
        <v>60</v>
      </c>
      <c r="B13" s="509"/>
      <c r="C13" s="36"/>
      <c r="D13" s="44">
        <f>4%*D7</f>
        <v>0</v>
      </c>
      <c r="E13" s="505"/>
      <c r="F13" s="43" t="s">
        <v>109</v>
      </c>
      <c r="G13" s="45"/>
      <c r="H13" s="44">
        <f>IF(C16="Yes",125,0)</f>
        <v>0</v>
      </c>
      <c r="L13" s="124"/>
      <c r="N13" s="28"/>
      <c r="O13" s="47"/>
    </row>
    <row r="14" spans="1:15" ht="15.75" customHeight="1">
      <c r="A14" s="509" t="s">
        <v>133</v>
      </c>
      <c r="B14" s="509"/>
      <c r="C14" s="36"/>
      <c r="D14" s="44">
        <f>IF(D8&gt;0,4%*D8,0)</f>
        <v>0</v>
      </c>
      <c r="E14" s="505"/>
      <c r="F14" s="43" t="s">
        <v>134</v>
      </c>
      <c r="G14" s="45"/>
      <c r="H14" s="44">
        <f>IF(D8&gt;0,60,0)</f>
        <v>0</v>
      </c>
      <c r="L14" s="124"/>
      <c r="O14" s="47"/>
    </row>
    <row r="15" spans="1:15" ht="15.75" customHeight="1">
      <c r="A15" s="527" t="s">
        <v>65</v>
      </c>
      <c r="B15" s="527"/>
      <c r="C15" s="129"/>
      <c r="D15" s="58">
        <f>ROUND((D12+D13+D14),0)</f>
        <v>16817</v>
      </c>
      <c r="E15" s="505"/>
      <c r="F15" s="48" t="s">
        <v>66</v>
      </c>
      <c r="G15" s="49"/>
      <c r="H15" s="58">
        <f>SUM(H12:H14)</f>
        <v>6521</v>
      </c>
      <c r="L15" s="124"/>
      <c r="O15" s="47"/>
    </row>
    <row r="16" spans="1:15" ht="15.75" customHeight="1">
      <c r="A16" s="509" t="s">
        <v>109</v>
      </c>
      <c r="B16" s="509"/>
      <c r="C16" s="36" t="s">
        <v>37</v>
      </c>
      <c r="D16" s="44">
        <f>IF(C16="Yes",50+(0.5%*D9),0)</f>
        <v>0</v>
      </c>
      <c r="E16" s="505"/>
      <c r="F16" s="43" t="s">
        <v>135</v>
      </c>
      <c r="G16" s="36" t="s">
        <v>62</v>
      </c>
      <c r="H16" s="44">
        <f>IF(G16="Yes",900,0)</f>
        <v>900</v>
      </c>
      <c r="L16" s="124"/>
      <c r="N16" s="28"/>
      <c r="O16" s="47"/>
    </row>
    <row r="17" spans="1:14" ht="15.75" customHeight="1">
      <c r="A17" s="509" t="s">
        <v>70</v>
      </c>
      <c r="B17" s="509"/>
      <c r="C17" s="36" t="s">
        <v>37</v>
      </c>
      <c r="D17" s="44">
        <f>IF(C17="Yes",500,0)</f>
        <v>0</v>
      </c>
      <c r="E17" s="505"/>
      <c r="F17" s="43" t="s">
        <v>136</v>
      </c>
      <c r="G17" s="36" t="s">
        <v>62</v>
      </c>
      <c r="H17" s="44">
        <f>IF(G17="Yes",150*G18,0)</f>
        <v>150</v>
      </c>
      <c r="L17" s="124"/>
      <c r="N17" s="28"/>
    </row>
    <row r="18" spans="1:15" ht="15.75" customHeight="1">
      <c r="A18" s="509" t="s">
        <v>137</v>
      </c>
      <c r="B18" s="509"/>
      <c r="C18" s="51" t="s">
        <v>37</v>
      </c>
      <c r="D18" s="44">
        <f>D6*A53/10</f>
        <v>0</v>
      </c>
      <c r="E18" s="505"/>
      <c r="F18" s="130" t="str">
        <f>IF(G17="Yes","Driver/Employee","")</f>
        <v>Driver/Employee</v>
      </c>
      <c r="G18" s="36">
        <v>1</v>
      </c>
      <c r="H18" s="43"/>
      <c r="L18" s="124"/>
      <c r="N18" s="28"/>
      <c r="O18" s="47"/>
    </row>
    <row r="19" spans="1:12" ht="15.75" customHeight="1">
      <c r="A19" s="509" t="s">
        <v>138</v>
      </c>
      <c r="B19" s="509"/>
      <c r="C19" s="50">
        <v>0.3</v>
      </c>
      <c r="D19" s="44">
        <f>(D15)*C19</f>
        <v>5045.099999999999</v>
      </c>
      <c r="E19" s="505"/>
      <c r="F19" s="43" t="s">
        <v>139</v>
      </c>
      <c r="G19" s="36" t="s">
        <v>62</v>
      </c>
      <c r="H19" s="44">
        <f>IF(G19="Yes",1.5*G21*H21/1000,0)</f>
        <v>600</v>
      </c>
      <c r="L19" s="124"/>
    </row>
    <row r="20" spans="1:12" ht="15.75" customHeight="1">
      <c r="A20" s="33" t="s">
        <v>224</v>
      </c>
      <c r="B20" s="396">
        <v>0.0014</v>
      </c>
      <c r="C20" s="36" t="s">
        <v>37</v>
      </c>
      <c r="D20" s="44">
        <f>IF(C20="Yes",(D6*B20),0)</f>
        <v>0</v>
      </c>
      <c r="E20" s="505"/>
      <c r="F20" s="43"/>
      <c r="G20" s="36"/>
      <c r="H20" s="44"/>
      <c r="L20" s="124"/>
    </row>
    <row r="21" spans="1:12" ht="15.75" customHeight="1">
      <c r="A21" s="509" t="s">
        <v>140</v>
      </c>
      <c r="B21" s="509"/>
      <c r="C21" s="36" t="s">
        <v>37</v>
      </c>
      <c r="D21" s="44">
        <f>IF(C21="Yes",50,0)</f>
        <v>0</v>
      </c>
      <c r="E21" s="505"/>
      <c r="F21" s="130" t="str">
        <f>IF(G19="Yes","No of Seating Capacity","")</f>
        <v>No of Seating Capacity</v>
      </c>
      <c r="G21" s="36">
        <v>4</v>
      </c>
      <c r="H21" s="131">
        <v>100000</v>
      </c>
      <c r="L21" s="124"/>
    </row>
    <row r="22" spans="1:12" ht="15.75" customHeight="1">
      <c r="A22" s="509" t="s">
        <v>141</v>
      </c>
      <c r="B22" s="509"/>
      <c r="C22" s="36" t="s">
        <v>37</v>
      </c>
      <c r="D22" s="44">
        <f>IF(C22="Yes",60%*(D15-D31),0)</f>
        <v>0</v>
      </c>
      <c r="E22" s="505"/>
      <c r="F22" s="43" t="s">
        <v>72</v>
      </c>
      <c r="G22" s="45"/>
      <c r="H22" s="44">
        <v>0</v>
      </c>
      <c r="L22" s="124"/>
    </row>
    <row r="23" spans="1:12" ht="15.75" customHeight="1">
      <c r="A23" s="527" t="s">
        <v>142</v>
      </c>
      <c r="B23" s="527"/>
      <c r="C23" s="129"/>
      <c r="D23" s="58">
        <f>D15+D16+D17+D18+D19+D20+D21+D22</f>
        <v>21862.1</v>
      </c>
      <c r="E23" s="505"/>
      <c r="F23" s="48" t="s">
        <v>75</v>
      </c>
      <c r="G23" s="49"/>
      <c r="H23" s="58">
        <f>SUM(H15:H17)+H19+H22</f>
        <v>8171</v>
      </c>
      <c r="L23" s="124"/>
    </row>
    <row r="24" spans="1:12" ht="15.75" customHeight="1">
      <c r="A24" s="509" t="s">
        <v>117</v>
      </c>
      <c r="B24" s="509"/>
      <c r="C24" s="36" t="s">
        <v>37</v>
      </c>
      <c r="D24" s="44">
        <f>IF(C24="Yes",MIN(500,2.5%*(D15-D31)),0)</f>
        <v>0</v>
      </c>
      <c r="E24" s="505"/>
      <c r="F24" s="43" t="s">
        <v>118</v>
      </c>
      <c r="G24" s="154">
        <v>750000</v>
      </c>
      <c r="H24" s="44">
        <f>IF(G24=750000,0,100)</f>
        <v>0</v>
      </c>
      <c r="L24" s="124"/>
    </row>
    <row r="25" spans="1:8" ht="15.75" customHeight="1">
      <c r="A25" s="509" t="s">
        <v>143</v>
      </c>
      <c r="B25" s="509"/>
      <c r="C25" s="36" t="s">
        <v>37</v>
      </c>
      <c r="D25" s="44">
        <f>IF(C25="Yes",50%*(D15-D31),0)</f>
        <v>0</v>
      </c>
      <c r="E25" s="505"/>
      <c r="F25" s="43"/>
      <c r="G25" s="45"/>
      <c r="H25" s="44"/>
    </row>
    <row r="26" spans="1:8" ht="15.75" customHeight="1">
      <c r="A26" s="509" t="s">
        <v>79</v>
      </c>
      <c r="B26" s="509"/>
      <c r="C26" s="36" t="s">
        <v>37</v>
      </c>
      <c r="D26" s="44">
        <f>IF(C26="Yes",MIN(200,5%*(D15-D31)),0)</f>
        <v>0</v>
      </c>
      <c r="E26" s="505"/>
      <c r="F26" s="43"/>
      <c r="G26" s="45"/>
      <c r="H26" s="44"/>
    </row>
    <row r="27" spans="1:10" ht="15.75" customHeight="1">
      <c r="A27" s="509" t="s">
        <v>144</v>
      </c>
      <c r="B27" s="509"/>
      <c r="C27" s="36" t="s">
        <v>37</v>
      </c>
      <c r="D27" s="44">
        <f>IF(C27="Yes",33.33%*(D15-D31),0)</f>
        <v>0</v>
      </c>
      <c r="E27" s="505"/>
      <c r="F27" s="43"/>
      <c r="G27" s="45"/>
      <c r="H27" s="44"/>
      <c r="J27" s="133"/>
    </row>
    <row r="28" spans="1:10" ht="15.75" customHeight="1">
      <c r="A28" s="509" t="s">
        <v>81</v>
      </c>
      <c r="B28" s="509"/>
      <c r="C28" s="134">
        <v>0</v>
      </c>
      <c r="D28" s="44">
        <f>VLOOKUP(C28,CART!I18:J22,2)</f>
        <v>0</v>
      </c>
      <c r="E28" s="505"/>
      <c r="F28" s="43"/>
      <c r="G28" s="45"/>
      <c r="H28" s="44"/>
      <c r="J28" s="133"/>
    </row>
    <row r="29" spans="1:10" ht="15.75" customHeight="1">
      <c r="A29" s="551" t="s">
        <v>82</v>
      </c>
      <c r="B29" s="552"/>
      <c r="C29" s="129"/>
      <c r="D29" s="58">
        <f>D23-SUM(D24:D28)</f>
        <v>21862.1</v>
      </c>
      <c r="E29" s="505"/>
      <c r="F29" s="43"/>
      <c r="G29" s="45"/>
      <c r="H29" s="44"/>
      <c r="I29" s="62"/>
      <c r="J29" s="133"/>
    </row>
    <row r="30" spans="1:10" ht="15.75" customHeight="1">
      <c r="A30" s="547" t="s">
        <v>145</v>
      </c>
      <c r="B30" s="548"/>
      <c r="C30" s="50">
        <v>0.45</v>
      </c>
      <c r="D30" s="44">
        <f>(D29-D31-D32-D33)*C30</f>
        <v>3594.633749999999</v>
      </c>
      <c r="E30" s="505"/>
      <c r="F30" s="43"/>
      <c r="G30" s="45"/>
      <c r="H30" s="44"/>
      <c r="I30" s="62"/>
      <c r="J30" s="133"/>
    </row>
    <row r="31" spans="1:18" s="41" customFormat="1" ht="15.75" customHeight="1">
      <c r="A31" s="547" t="s">
        <v>85</v>
      </c>
      <c r="B31" s="548"/>
      <c r="C31" s="50">
        <v>0.75</v>
      </c>
      <c r="D31" s="44">
        <f>D15*C31</f>
        <v>12612.75</v>
      </c>
      <c r="E31" s="505"/>
      <c r="F31" s="43"/>
      <c r="G31" s="45"/>
      <c r="H31" s="44"/>
      <c r="J31" s="26"/>
      <c r="K31" s="26"/>
      <c r="L31" s="26"/>
      <c r="M31" s="26"/>
      <c r="N31" s="26"/>
      <c r="O31" s="26"/>
      <c r="P31" s="26"/>
      <c r="Q31" s="26"/>
      <c r="R31" s="26"/>
    </row>
    <row r="32" spans="1:13" s="155" customFormat="1" ht="14.25" customHeight="1">
      <c r="A32" s="530" t="s">
        <v>226</v>
      </c>
      <c r="B32" s="531"/>
      <c r="C32" s="171">
        <v>0.2</v>
      </c>
      <c r="D32" s="164">
        <f>D19*C32</f>
        <v>1009.02</v>
      </c>
      <c r="E32" s="505"/>
      <c r="F32" s="177"/>
      <c r="G32" s="163"/>
      <c r="H32" s="164"/>
      <c r="K32" s="41"/>
      <c r="L32" s="41"/>
      <c r="M32" s="41"/>
    </row>
    <row r="33" spans="1:10" ht="15.75" customHeight="1">
      <c r="A33" s="547" t="s">
        <v>225</v>
      </c>
      <c r="B33" s="548"/>
      <c r="C33" s="50">
        <v>0.05</v>
      </c>
      <c r="D33" s="44">
        <f>D19*C33</f>
        <v>252.255</v>
      </c>
      <c r="E33" s="505"/>
      <c r="F33" s="43"/>
      <c r="G33" s="45"/>
      <c r="H33" s="44"/>
      <c r="J33" s="133"/>
    </row>
    <row r="34" spans="1:8" ht="15.75" customHeight="1">
      <c r="A34" s="549" t="s">
        <v>86</v>
      </c>
      <c r="B34" s="550"/>
      <c r="C34" s="507"/>
      <c r="D34" s="135">
        <f>D29-(D30+D31+D32+D33)</f>
        <v>4393.44125</v>
      </c>
      <c r="E34" s="505"/>
      <c r="F34" s="549" t="s">
        <v>87</v>
      </c>
      <c r="G34" s="507"/>
      <c r="H34" s="58">
        <f>H23-H24</f>
        <v>8171</v>
      </c>
    </row>
    <row r="35" spans="1:12" ht="15.75" customHeight="1">
      <c r="A35" s="28"/>
      <c r="B35" s="28"/>
      <c r="C35" s="136"/>
      <c r="D35" s="137"/>
      <c r="E35" s="137"/>
      <c r="F35" s="137"/>
      <c r="G35" s="137"/>
      <c r="H35" s="138"/>
      <c r="J35" s="139"/>
      <c r="K35" s="41"/>
      <c r="L35" s="140"/>
    </row>
    <row r="36" spans="1:8" ht="15.75" customHeight="1">
      <c r="A36" s="506"/>
      <c r="B36" s="141"/>
      <c r="C36" s="73"/>
      <c r="D36" s="73"/>
      <c r="E36" s="73"/>
      <c r="F36" s="142" t="s">
        <v>88</v>
      </c>
      <c r="G36" s="143" t="s">
        <v>89</v>
      </c>
      <c r="H36" s="144" t="s">
        <v>38</v>
      </c>
    </row>
    <row r="37" spans="1:8" ht="15.75" customHeight="1">
      <c r="A37" s="506"/>
      <c r="B37" s="141"/>
      <c r="C37" s="524" t="s">
        <v>90</v>
      </c>
      <c r="D37" s="524"/>
      <c r="E37" s="524"/>
      <c r="F37" s="145">
        <f>D34</f>
        <v>4393.44125</v>
      </c>
      <c r="G37" s="146">
        <f>H34</f>
        <v>8171</v>
      </c>
      <c r="H37" s="147">
        <f>SUM(F37:G37)</f>
        <v>12564.44125</v>
      </c>
    </row>
    <row r="38" spans="1:8" ht="15.75" customHeight="1">
      <c r="A38" s="506"/>
      <c r="B38" s="141"/>
      <c r="C38" s="525" t="s">
        <v>146</v>
      </c>
      <c r="D38" s="525"/>
      <c r="E38" s="525"/>
      <c r="F38" s="148">
        <f>F37*0.18</f>
        <v>790.8194249999999</v>
      </c>
      <c r="G38" s="148">
        <f>G37*0.18</f>
        <v>1470.78</v>
      </c>
      <c r="H38" s="148">
        <f>SUM(F38:G38)</f>
        <v>2261.599425</v>
      </c>
    </row>
    <row r="39" spans="1:8" ht="15.75" customHeight="1">
      <c r="A39" s="506"/>
      <c r="B39" s="141"/>
      <c r="C39" s="526" t="s">
        <v>40</v>
      </c>
      <c r="D39" s="526"/>
      <c r="E39" s="526"/>
      <c r="F39" s="150">
        <f>SUM(F37:F38)</f>
        <v>5184.2606749999995</v>
      </c>
      <c r="G39" s="150">
        <f>SUM(G37:G38)</f>
        <v>9641.78</v>
      </c>
      <c r="H39" s="151">
        <f>SUM(H37:H38)</f>
        <v>14826.040675</v>
      </c>
    </row>
    <row r="40" spans="6:10" ht="15.75" customHeight="1">
      <c r="F40" s="55"/>
      <c r="J40" s="133"/>
    </row>
    <row r="41" spans="1:2" ht="13.5">
      <c r="A41" s="532" t="s">
        <v>220</v>
      </c>
      <c r="B41" s="532"/>
    </row>
    <row r="42" spans="1:2" ht="13.5">
      <c r="A42" s="385" t="s">
        <v>215</v>
      </c>
      <c r="B42" s="385" t="s">
        <v>216</v>
      </c>
    </row>
    <row r="43" spans="1:2" ht="13.5">
      <c r="A43" s="385" t="s">
        <v>217</v>
      </c>
      <c r="B43" s="386">
        <v>0.1</v>
      </c>
    </row>
    <row r="44" spans="1:2" ht="13.5">
      <c r="A44" s="385" t="s">
        <v>218</v>
      </c>
      <c r="B44" s="386">
        <v>0.2</v>
      </c>
    </row>
    <row r="45" spans="1:2" ht="13.5">
      <c r="A45" s="385" t="s">
        <v>219</v>
      </c>
      <c r="B45" s="386">
        <v>0.3</v>
      </c>
    </row>
    <row r="49" ht="15.75" customHeight="1" hidden="1"/>
    <row r="50" ht="15.75" customHeight="1" hidden="1"/>
    <row r="51" ht="15.75" customHeight="1" hidden="1"/>
    <row r="52" spans="1:3" ht="15.75" customHeight="1" hidden="1">
      <c r="A52" s="73" t="s">
        <v>92</v>
      </c>
      <c r="B52" s="73"/>
      <c r="C52" s="73" t="s">
        <v>93</v>
      </c>
    </row>
    <row r="53" spans="1:3" ht="15.75" customHeight="1" hidden="1">
      <c r="A53" s="152" t="b">
        <f>IF(C18="Yes",IF(C53=0,3%,IF(C53=1,4%,IF(C53=2,6%,0))))</f>
        <v>0</v>
      </c>
      <c r="B53" s="152"/>
      <c r="C53" s="74">
        <f ca="1">YEAR(TODAY())-(H6)</f>
        <v>5</v>
      </c>
    </row>
    <row r="54" ht="15.75" customHeight="1" hidden="1"/>
  </sheetData>
  <sheetProtection password="CEED" sheet="1"/>
  <mergeCells count="46">
    <mergeCell ref="A32:B32"/>
    <mergeCell ref="A1:H1"/>
    <mergeCell ref="A2:H2"/>
    <mergeCell ref="J2:K3"/>
    <mergeCell ref="B3:H3"/>
    <mergeCell ref="B4:H4"/>
    <mergeCell ref="A5:H5"/>
    <mergeCell ref="A6:C6"/>
    <mergeCell ref="E6:E9"/>
    <mergeCell ref="F6:G6"/>
    <mergeCell ref="A7:C7"/>
    <mergeCell ref="F7:G7"/>
    <mergeCell ref="A8:C8"/>
    <mergeCell ref="F8:G8"/>
    <mergeCell ref="A9:C9"/>
    <mergeCell ref="F9:G9"/>
    <mergeCell ref="A10:H10"/>
    <mergeCell ref="A11:D11"/>
    <mergeCell ref="E11:E34"/>
    <mergeCell ref="F11:H11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41:B41"/>
    <mergeCell ref="A33:B33"/>
    <mergeCell ref="A34:C34"/>
    <mergeCell ref="F34:G34"/>
    <mergeCell ref="A36:A39"/>
    <mergeCell ref="C37:E37"/>
    <mergeCell ref="C38:E38"/>
    <mergeCell ref="C39:E39"/>
  </mergeCells>
  <dataValidations count="11">
    <dataValidation allowBlank="1" showErrorMessage="1" sqref="C31">
      <formula1>0</formula1>
      <formula2>0</formula2>
    </dataValidation>
    <dataValidation type="list" allowBlank="1" showErrorMessage="1" sqref="H9">
      <formula1>"PETROL,DIESEL"</formula1>
      <formula2>0</formula2>
    </dataValidation>
    <dataValidation type="list" allowBlank="1" showErrorMessage="1" sqref="H21">
      <formula1>"0,50000,60000,70000,80000,90000,100000,120000,130000,140000,150000,160000,170000,180000,190000,200000,210000,220000,230000,240000,250000,260000,270000,280000,290000,300000"</formula1>
      <formula2>0</formula2>
    </dataValidation>
    <dataValidation type="list" allowBlank="1" showErrorMessage="1" sqref="H7">
      <formula1>"A,B"</formula1>
      <formula2>0</formula2>
    </dataValidation>
    <dataValidation type="list" allowBlank="1" showErrorMessage="1" sqref="C30">
      <formula1>"65%,50%,45%,35%,25%,20%,0%"</formula1>
      <formula2>0</formula2>
    </dataValidation>
    <dataValidation type="list" allowBlank="1" showErrorMessage="1" sqref="C28">
      <formula1>"0,2500,5000,7500,15000"</formula1>
      <formula2>0</formula2>
    </dataValidation>
    <dataValidation type="list" allowBlank="1" showErrorMessage="1" sqref="C8 G14 C16:C18 G16:G17 C24:C27 C20:C22 G19:G20">
      <formula1>"Yes,No"</formula1>
      <formula2>0</formula2>
    </dataValidation>
    <dataValidation type="list" allowBlank="1" showErrorMessage="1" sqref="G24">
      <formula1>"6000,750000"</formula1>
      <formula2>0</formula2>
    </dataValidation>
    <dataValidation type="list" allowBlank="1" showErrorMessage="1" sqref="C19">
      <formula1>"0,10%,20%,30%,"</formula1>
    </dataValidation>
    <dataValidation type="list" allowBlank="1" showErrorMessage="1" sqref="C33">
      <formula1>"0%,5%"</formula1>
    </dataValidation>
    <dataValidation type="list" allowBlank="1" showErrorMessage="1" sqref="C32">
      <formula1>"0,20%"</formula1>
    </dataValidation>
  </dataValidations>
  <hyperlinks>
    <hyperlink ref="J2" location="HyperLink!A1" display="BACK TO          HYPER LINK"/>
  </hyperlinks>
  <printOptions/>
  <pageMargins left="0.39375" right="0" top="0.7479166666666667" bottom="0.7479166666666667" header="0.5118055555555555" footer="0.5118055555555555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35.00390625" style="75" customWidth="1"/>
    <col min="2" max="2" width="12.7109375" style="100" customWidth="1"/>
    <col min="3" max="3" width="9.140625" style="75" customWidth="1"/>
    <col min="4" max="4" width="35.00390625" style="75" customWidth="1"/>
    <col min="5" max="5" width="11.140625" style="75" customWidth="1"/>
    <col min="6" max="16384" width="9.140625" style="75" customWidth="1"/>
  </cols>
  <sheetData>
    <row r="1" spans="1:3" ht="15.75">
      <c r="A1" s="76"/>
      <c r="B1" s="101"/>
      <c r="C1" s="76"/>
    </row>
    <row r="2" spans="1:5" ht="15.75">
      <c r="A2" s="102" t="s">
        <v>94</v>
      </c>
      <c r="B2" s="103"/>
      <c r="C2" s="76"/>
      <c r="D2" s="102" t="s">
        <v>94</v>
      </c>
      <c r="E2" s="103"/>
    </row>
    <row r="3" spans="1:5" ht="15.75">
      <c r="A3" s="78"/>
      <c r="B3" s="103"/>
      <c r="C3" s="76"/>
      <c r="D3" s="78"/>
      <c r="E3" s="103"/>
    </row>
    <row r="4" spans="1:5" ht="15.75">
      <c r="A4" s="78" t="s">
        <v>48</v>
      </c>
      <c r="B4" s="103" t="str">
        <f>+'Pvt.Car'!H7</f>
        <v>B</v>
      </c>
      <c r="C4" s="76"/>
      <c r="D4" s="78" t="s">
        <v>48</v>
      </c>
      <c r="E4" s="103">
        <f>+'Pvt.Car'!M5</f>
        <v>0</v>
      </c>
    </row>
    <row r="5" spans="1:5" ht="15.75">
      <c r="A5" s="78" t="s">
        <v>51</v>
      </c>
      <c r="B5" s="103">
        <f>+'Pvt.Car'!H8</f>
        <v>1600</v>
      </c>
      <c r="C5" s="76"/>
      <c r="D5" s="78" t="s">
        <v>51</v>
      </c>
      <c r="E5" s="103">
        <f>+'Pvt.Car'!M6</f>
        <v>0</v>
      </c>
    </row>
    <row r="6" spans="1:5" ht="15.75">
      <c r="A6" s="78" t="s">
        <v>95</v>
      </c>
      <c r="B6" s="103">
        <f ca="1">IF((YEAR(TODAY())-'Pvt.Car'!H6+1)&lt;1,0,(YEAR(TODAY())-'Pvt.Car'!H6+1))</f>
        <v>6</v>
      </c>
      <c r="C6" s="76"/>
      <c r="D6" s="78" t="s">
        <v>95</v>
      </c>
      <c r="E6" s="103">
        <f ca="1">IF((YEAR(TODAY())-'Pvt.Car'!H6+1)&lt;1,0,(YEAR(TODAY())-'Pvt.Car'!H6+1))</f>
        <v>6</v>
      </c>
    </row>
    <row r="7" spans="1:5" ht="15.75">
      <c r="A7" s="78" t="s">
        <v>96</v>
      </c>
      <c r="B7" s="103">
        <f>(IF(B4="A",IF(B5&lt;1001,1,IF(B5&lt;1501,3,5)),IF(B5&lt;1001,2,IF(B5&lt;1501,4,6)))+1)</f>
        <v>7</v>
      </c>
      <c r="C7" s="76"/>
      <c r="D7" s="78" t="s">
        <v>96</v>
      </c>
      <c r="E7" s="103">
        <f>(IF(E4="A",IF(J5&lt;1001,1,IF(J5&lt;1501,3,5)),IF(J5&lt;1001,2,IF(J5&lt;1501,4,6)))+1)</f>
        <v>3</v>
      </c>
    </row>
    <row r="8" spans="1:5" ht="15.75">
      <c r="A8" s="78" t="s">
        <v>97</v>
      </c>
      <c r="B8" s="104">
        <f>VLOOKUP(B6,CART!A7:G9,CARCAL!B7)</f>
        <v>3.51</v>
      </c>
      <c r="C8" s="76"/>
      <c r="D8" s="78" t="s">
        <v>122</v>
      </c>
      <c r="E8" s="105">
        <f>VLOOKUP(E6,CART!I6:K11,CARCAL!E7)</f>
        <v>0.0018</v>
      </c>
    </row>
    <row r="9" spans="1:5" ht="15.75">
      <c r="A9" s="78"/>
      <c r="B9" s="103"/>
      <c r="C9" s="76"/>
      <c r="D9" s="78" t="s">
        <v>123</v>
      </c>
      <c r="E9" s="105">
        <f>VLOOKUP(E6,CART!M6:O12,CARCAL!E7)</f>
        <v>0.0022</v>
      </c>
    </row>
    <row r="10" spans="1:3" ht="15.75">
      <c r="A10" s="102" t="s">
        <v>98</v>
      </c>
      <c r="B10" s="103"/>
      <c r="C10" s="76"/>
    </row>
    <row r="11" spans="1:3" ht="15.75">
      <c r="A11" s="78" t="s">
        <v>99</v>
      </c>
      <c r="B11" s="103">
        <f>VLOOKUP(B6,CART!A13:G15,CARCAL!B7)</f>
        <v>7897</v>
      </c>
      <c r="C11" s="76"/>
    </row>
    <row r="12" spans="1:3" ht="15.75">
      <c r="A12" s="76"/>
      <c r="B12" s="101"/>
      <c r="C12" s="76"/>
    </row>
    <row r="13" spans="1:3" ht="15.75">
      <c r="A13" s="76"/>
      <c r="B13" s="101"/>
      <c r="C13" s="76"/>
    </row>
    <row r="14" spans="1:3" ht="15.75">
      <c r="A14" s="76"/>
      <c r="B14" s="101"/>
      <c r="C14" s="76"/>
    </row>
    <row r="15" spans="1:3" ht="15.75">
      <c r="A15" s="76"/>
      <c r="B15" s="101"/>
      <c r="C15" s="76"/>
    </row>
    <row r="16" spans="1:3" ht="15.75">
      <c r="A16" s="76"/>
      <c r="B16" s="101"/>
      <c r="C16" s="76"/>
    </row>
    <row r="17" spans="1:3" ht="15.75">
      <c r="A17" s="76"/>
      <c r="B17" s="101"/>
      <c r="C17" s="76"/>
    </row>
    <row r="18" spans="1:3" ht="15.75">
      <c r="A18" s="76"/>
      <c r="B18" s="101"/>
      <c r="C18" s="76"/>
    </row>
    <row r="19" spans="1:3" ht="15.75">
      <c r="A19" s="76"/>
      <c r="B19" s="101"/>
      <c r="C19" s="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10">
      <selection activeCell="H35" sqref="H35"/>
    </sheetView>
  </sheetViews>
  <sheetFormatPr defaultColWidth="9.140625" defaultRowHeight="14.25" customHeight="1"/>
  <cols>
    <col min="1" max="1" width="22.140625" style="155" customWidth="1"/>
    <col min="2" max="2" width="8.57421875" style="155" customWidth="1"/>
    <col min="3" max="3" width="7.7109375" style="155" customWidth="1"/>
    <col min="4" max="4" width="10.57421875" style="155" customWidth="1"/>
    <col min="5" max="5" width="3.7109375" style="155" customWidth="1"/>
    <col min="6" max="6" width="26.421875" style="155" customWidth="1"/>
    <col min="7" max="7" width="9.7109375" style="155" customWidth="1"/>
    <col min="8" max="8" width="10.7109375" style="155" customWidth="1"/>
    <col min="9" max="9" width="3.57421875" style="155" customWidth="1"/>
    <col min="10" max="10" width="5.00390625" style="155" customWidth="1"/>
    <col min="11" max="11" width="8.57421875" style="155" customWidth="1"/>
    <col min="12" max="12" width="9.140625" style="155" customWidth="1"/>
    <col min="13" max="13" width="28.00390625" style="155" customWidth="1"/>
    <col min="14" max="17" width="0" style="155" hidden="1" customWidth="1"/>
    <col min="18" max="18" width="11.421875" style="155" customWidth="1"/>
    <col min="19" max="19" width="6.28125" style="155" customWidth="1"/>
    <col min="20" max="16384" width="9.140625" style="155" customWidth="1"/>
  </cols>
  <sheetData>
    <row r="1" spans="1:17" ht="14.25" customHeight="1">
      <c r="A1" s="564" t="s">
        <v>0</v>
      </c>
      <c r="B1" s="564"/>
      <c r="C1" s="564"/>
      <c r="D1" s="564"/>
      <c r="E1" s="564"/>
      <c r="F1" s="564"/>
      <c r="G1" s="564"/>
      <c r="H1" s="564"/>
      <c r="Q1" s="155" t="s">
        <v>145</v>
      </c>
    </row>
    <row r="2" spans="1:18" ht="14.25" customHeight="1">
      <c r="A2" s="565" t="s">
        <v>236</v>
      </c>
      <c r="B2" s="565"/>
      <c r="C2" s="565"/>
      <c r="D2" s="565"/>
      <c r="E2" s="565"/>
      <c r="F2" s="565"/>
      <c r="G2" s="565"/>
      <c r="H2" s="565"/>
      <c r="J2" s="566" t="s">
        <v>28</v>
      </c>
      <c r="K2" s="566"/>
      <c r="Q2" s="157">
        <f>D15-D28-D30+D16+D18</f>
        <v>20690.457500000004</v>
      </c>
      <c r="R2" s="157"/>
    </row>
    <row r="3" spans="1:11" ht="14.25" customHeight="1">
      <c r="A3" s="156" t="s">
        <v>128</v>
      </c>
      <c r="B3" s="158"/>
      <c r="C3" s="567"/>
      <c r="D3" s="567"/>
      <c r="E3" s="567"/>
      <c r="F3" s="567"/>
      <c r="G3" s="567"/>
      <c r="H3" s="567"/>
      <c r="J3" s="566"/>
      <c r="K3" s="566"/>
    </row>
    <row r="4" spans="1:8" ht="14.25" customHeight="1">
      <c r="A4" s="156" t="s">
        <v>45</v>
      </c>
      <c r="B4" s="158"/>
      <c r="C4" s="568"/>
      <c r="D4" s="568"/>
      <c r="E4" s="568"/>
      <c r="F4" s="568"/>
      <c r="G4" s="568"/>
      <c r="H4" s="568"/>
    </row>
    <row r="5" spans="1:10" ht="14.25" customHeight="1">
      <c r="A5" s="569" t="s">
        <v>46</v>
      </c>
      <c r="B5" s="569"/>
      <c r="C5" s="569"/>
      <c r="D5" s="569"/>
      <c r="E5" s="569"/>
      <c r="F5" s="569"/>
      <c r="G5" s="569"/>
      <c r="H5" s="569"/>
      <c r="J5" s="155" t="s">
        <v>147</v>
      </c>
    </row>
    <row r="6" spans="1:8" ht="14.25" customHeight="1">
      <c r="A6" s="559" t="s">
        <v>148</v>
      </c>
      <c r="B6" s="559"/>
      <c r="C6" s="559"/>
      <c r="D6" s="159">
        <v>2050000</v>
      </c>
      <c r="E6" s="160"/>
      <c r="F6" s="563" t="s">
        <v>53</v>
      </c>
      <c r="G6" s="563"/>
      <c r="H6" s="161">
        <v>2019</v>
      </c>
    </row>
    <row r="7" spans="1:17" s="26" customFormat="1" ht="14.25" customHeight="1">
      <c r="A7" s="559" t="s">
        <v>60</v>
      </c>
      <c r="B7" s="559"/>
      <c r="C7" s="559"/>
      <c r="D7" s="159">
        <v>0</v>
      </c>
      <c r="E7" s="160"/>
      <c r="F7" s="563" t="s">
        <v>149</v>
      </c>
      <c r="G7" s="563"/>
      <c r="H7" s="161">
        <v>41000</v>
      </c>
      <c r="Q7" s="155"/>
    </row>
    <row r="8" spans="1:17" s="41" customFormat="1" ht="14.25" customHeight="1">
      <c r="A8" s="559" t="s">
        <v>150</v>
      </c>
      <c r="B8" s="559"/>
      <c r="C8" s="559"/>
      <c r="D8" s="159">
        <v>0</v>
      </c>
      <c r="E8" s="160"/>
      <c r="F8" s="560" t="s">
        <v>48</v>
      </c>
      <c r="G8" s="560"/>
      <c r="H8" s="162" t="s">
        <v>151</v>
      </c>
      <c r="Q8" s="155"/>
    </row>
    <row r="9" spans="1:13" ht="14.25" customHeight="1">
      <c r="A9" s="561" t="s">
        <v>152</v>
      </c>
      <c r="B9" s="561"/>
      <c r="C9" s="561"/>
      <c r="D9" s="561"/>
      <c r="E9" s="561"/>
      <c r="F9" s="561"/>
      <c r="G9" s="561"/>
      <c r="H9" s="561"/>
      <c r="J9" s="41"/>
      <c r="K9" s="41"/>
      <c r="L9" s="41"/>
      <c r="M9" s="452"/>
    </row>
    <row r="10" spans="1:13" ht="14.25" customHeight="1">
      <c r="A10" s="504" t="s">
        <v>56</v>
      </c>
      <c r="B10" s="504"/>
      <c r="C10" s="504"/>
      <c r="D10" s="504"/>
      <c r="E10" s="562"/>
      <c r="F10" s="504" t="s">
        <v>57</v>
      </c>
      <c r="G10" s="504"/>
      <c r="H10" s="504"/>
      <c r="J10" s="41"/>
      <c r="K10" s="41"/>
      <c r="L10" s="41"/>
      <c r="M10" s="41"/>
    </row>
    <row r="11" spans="1:13" ht="14.25" customHeight="1">
      <c r="A11" s="510" t="s">
        <v>153</v>
      </c>
      <c r="B11" s="510"/>
      <c r="C11" s="163"/>
      <c r="D11" s="164">
        <f>Database!$J$7</f>
        <v>35383</v>
      </c>
      <c r="E11" s="562"/>
      <c r="F11" s="559"/>
      <c r="G11" s="559"/>
      <c r="H11" s="559"/>
      <c r="J11" s="41"/>
      <c r="K11" s="41"/>
      <c r="L11" s="41"/>
      <c r="M11" s="41"/>
    </row>
    <row r="12" spans="1:13" ht="14.25" customHeight="1">
      <c r="A12" s="559" t="s">
        <v>154</v>
      </c>
      <c r="B12" s="559"/>
      <c r="C12" s="163"/>
      <c r="D12" s="164">
        <f>D7*0.04</f>
        <v>0</v>
      </c>
      <c r="E12" s="562"/>
      <c r="F12" s="559" t="s">
        <v>99</v>
      </c>
      <c r="G12" s="559"/>
      <c r="H12" s="164">
        <f>Database!M2</f>
        <v>44242</v>
      </c>
      <c r="J12" s="41"/>
      <c r="K12" s="41"/>
      <c r="L12" s="41"/>
      <c r="M12" s="41"/>
    </row>
    <row r="13" spans="1:19" s="168" customFormat="1" ht="14.25" customHeight="1">
      <c r="A13" s="559" t="s">
        <v>155</v>
      </c>
      <c r="B13" s="559"/>
      <c r="C13" s="163"/>
      <c r="D13" s="164">
        <f>Database!$J$8</f>
        <v>7830.000000000001</v>
      </c>
      <c r="E13" s="562"/>
      <c r="F13" s="165" t="s">
        <v>135</v>
      </c>
      <c r="G13" s="166" t="s">
        <v>37</v>
      </c>
      <c r="H13" s="167">
        <f>IF(G13="Yes",320,0)</f>
        <v>0</v>
      </c>
      <c r="J13" s="41"/>
      <c r="K13" s="41"/>
      <c r="L13" s="41"/>
      <c r="M13" s="41"/>
      <c r="N13" s="155"/>
      <c r="O13" s="155"/>
      <c r="P13" s="155"/>
      <c r="Q13" s="155"/>
      <c r="R13" s="155"/>
      <c r="S13" s="155"/>
    </row>
    <row r="14" spans="1:13" ht="14.25" customHeight="1">
      <c r="A14" s="559" t="s">
        <v>156</v>
      </c>
      <c r="B14" s="559"/>
      <c r="C14" s="163"/>
      <c r="D14" s="164">
        <f>IF(D8&gt;0,D8*0.04,0)</f>
        <v>0</v>
      </c>
      <c r="E14" s="562"/>
      <c r="F14" s="559" t="s">
        <v>156</v>
      </c>
      <c r="G14" s="559"/>
      <c r="H14" s="164">
        <f>IF(D8&gt;0,60,0)</f>
        <v>0</v>
      </c>
      <c r="J14" s="41"/>
      <c r="K14" s="41"/>
      <c r="L14" s="41"/>
      <c r="M14" s="41"/>
    </row>
    <row r="15" spans="1:13" ht="14.25" customHeight="1">
      <c r="A15" s="555" t="s">
        <v>65</v>
      </c>
      <c r="B15" s="555"/>
      <c r="C15" s="169"/>
      <c r="D15" s="454">
        <f>SUM(D11:D13)</f>
        <v>43213</v>
      </c>
      <c r="E15" s="562"/>
      <c r="F15" s="555" t="s">
        <v>157</v>
      </c>
      <c r="G15" s="555"/>
      <c r="H15" s="170">
        <f>SUM(H12:H13)</f>
        <v>44242</v>
      </c>
      <c r="J15" s="41"/>
      <c r="K15" s="41"/>
      <c r="L15" s="41"/>
      <c r="M15" s="41"/>
    </row>
    <row r="16" spans="1:13" ht="14.25" customHeight="1">
      <c r="A16" s="559" t="s">
        <v>158</v>
      </c>
      <c r="B16" s="559"/>
      <c r="C16" s="162" t="s">
        <v>62</v>
      </c>
      <c r="D16" s="164">
        <f>IF(C16="Yes",(SUM(D11:D13)+D14+D19+D20)*0.15,0)</f>
        <v>6706.95</v>
      </c>
      <c r="E16" s="562"/>
      <c r="F16" s="43" t="s">
        <v>136</v>
      </c>
      <c r="G16" s="162" t="s">
        <v>62</v>
      </c>
      <c r="H16" s="164">
        <f>IF(G16="Yes",50*G17,0)</f>
        <v>150</v>
      </c>
      <c r="J16" s="41"/>
      <c r="K16" s="41"/>
      <c r="L16" s="41"/>
      <c r="M16" s="41"/>
    </row>
    <row r="17" spans="1:13" ht="14.25" customHeight="1">
      <c r="A17" s="510" t="s">
        <v>137</v>
      </c>
      <c r="B17" s="510"/>
      <c r="C17" s="162" t="s">
        <v>37</v>
      </c>
      <c r="D17" s="44">
        <f>D6*A49/10</f>
        <v>0</v>
      </c>
      <c r="E17" s="562"/>
      <c r="F17" s="160" t="s">
        <v>159</v>
      </c>
      <c r="G17" s="162">
        <v>3</v>
      </c>
      <c r="H17" s="164"/>
      <c r="J17" s="41"/>
      <c r="K17" s="41"/>
      <c r="L17" s="41"/>
      <c r="M17" s="41"/>
    </row>
    <row r="18" spans="1:13" ht="14.25" customHeight="1">
      <c r="A18" s="559" t="s">
        <v>160</v>
      </c>
      <c r="B18" s="559"/>
      <c r="C18" s="50">
        <v>0.2</v>
      </c>
      <c r="D18" s="164">
        <f>(D15+D20)*C18</f>
        <v>8642.6</v>
      </c>
      <c r="E18" s="562"/>
      <c r="F18" s="172" t="s">
        <v>161</v>
      </c>
      <c r="G18" s="162" t="s">
        <v>37</v>
      </c>
      <c r="H18" s="164">
        <f>IF(G18="Yes",75*G19,0)</f>
        <v>0</v>
      </c>
      <c r="J18" s="41"/>
      <c r="K18" s="41"/>
      <c r="L18" s="41"/>
      <c r="M18" s="41"/>
    </row>
    <row r="19" spans="1:22" s="168" customFormat="1" ht="14.25" customHeight="1">
      <c r="A19" s="160" t="s">
        <v>162</v>
      </c>
      <c r="B19" s="173">
        <v>20000</v>
      </c>
      <c r="C19" s="162" t="s">
        <v>62</v>
      </c>
      <c r="D19" s="164">
        <f>IF(C19="Yes",B19*0.075,0)</f>
        <v>1500</v>
      </c>
      <c r="E19" s="562"/>
      <c r="F19" s="160" t="s">
        <v>163</v>
      </c>
      <c r="G19" s="162">
        <v>0</v>
      </c>
      <c r="H19" s="164"/>
      <c r="J19" s="41"/>
      <c r="K19" s="41"/>
      <c r="L19" s="41"/>
      <c r="M19" s="41"/>
      <c r="N19" s="155"/>
      <c r="O19" s="155"/>
      <c r="P19" s="155"/>
      <c r="Q19" s="155"/>
      <c r="R19" s="155"/>
      <c r="S19" s="155"/>
      <c r="T19" s="155"/>
      <c r="U19" s="155"/>
      <c r="V19" s="155"/>
    </row>
    <row r="20" spans="1:13" ht="14.25" customHeight="1">
      <c r="A20" s="559" t="s">
        <v>70</v>
      </c>
      <c r="B20" s="559"/>
      <c r="C20" s="162" t="s">
        <v>37</v>
      </c>
      <c r="D20" s="164">
        <f>IF(C20="Yes",400,0)</f>
        <v>0</v>
      </c>
      <c r="E20" s="562"/>
      <c r="F20" s="43" t="s">
        <v>70</v>
      </c>
      <c r="G20" s="160"/>
      <c r="H20" s="44">
        <f>IF(C20="Yes",100,0)</f>
        <v>0</v>
      </c>
      <c r="J20" s="41"/>
      <c r="K20" s="41"/>
      <c r="L20" s="41"/>
      <c r="M20" s="41"/>
    </row>
    <row r="21" spans="1:13" ht="14.25" customHeight="1">
      <c r="A21" s="555" t="s">
        <v>142</v>
      </c>
      <c r="B21" s="555"/>
      <c r="C21" s="169"/>
      <c r="D21" s="170">
        <f>SUM(D15:D20)</f>
        <v>60062.549999999996</v>
      </c>
      <c r="E21" s="562"/>
      <c r="F21" s="66" t="s">
        <v>164</v>
      </c>
      <c r="G21" s="66"/>
      <c r="H21" s="170">
        <f>SUM(H15,H16,H18,H20)</f>
        <v>44392</v>
      </c>
      <c r="J21" s="41"/>
      <c r="K21" s="41"/>
      <c r="L21" s="41"/>
      <c r="M21" s="41"/>
    </row>
    <row r="22" spans="1:13" ht="14.25" customHeight="1">
      <c r="A22" s="559" t="s">
        <v>165</v>
      </c>
      <c r="B22" s="559"/>
      <c r="C22" s="163"/>
      <c r="D22" s="164"/>
      <c r="E22" s="562"/>
      <c r="F22" s="160" t="s">
        <v>118</v>
      </c>
      <c r="G22" s="162">
        <v>750000</v>
      </c>
      <c r="H22" s="164">
        <f>IF(G22=750000,0,200)</f>
        <v>0</v>
      </c>
      <c r="K22" s="41"/>
      <c r="L22" s="41"/>
      <c r="M22" s="41"/>
    </row>
    <row r="23" spans="1:13" ht="14.25" customHeight="1">
      <c r="A23" s="126" t="s">
        <v>117</v>
      </c>
      <c r="B23" s="127"/>
      <c r="C23" s="162" t="s">
        <v>37</v>
      </c>
      <c r="D23" s="164">
        <f>IF(C23="Yes",MIN(D21*0.025,500),0)</f>
        <v>0</v>
      </c>
      <c r="E23" s="562"/>
      <c r="F23" s="160"/>
      <c r="G23" s="160"/>
      <c r="H23" s="160"/>
      <c r="K23" s="41"/>
      <c r="L23" s="41"/>
      <c r="M23" s="41"/>
    </row>
    <row r="24" spans="1:13" ht="14.25" customHeight="1">
      <c r="A24" s="559" t="s">
        <v>79</v>
      </c>
      <c r="B24" s="559"/>
      <c r="C24" s="162" t="s">
        <v>37</v>
      </c>
      <c r="D24" s="174">
        <f>IF(C24="Yes",MIN(D21*0.05,200),0)</f>
        <v>0</v>
      </c>
      <c r="E24" s="562"/>
      <c r="F24" s="160"/>
      <c r="G24" s="163"/>
      <c r="H24" s="164"/>
      <c r="K24" s="41"/>
      <c r="L24" s="41"/>
      <c r="M24" s="41"/>
    </row>
    <row r="25" spans="1:13" ht="14.25" customHeight="1">
      <c r="A25" s="559" t="s">
        <v>144</v>
      </c>
      <c r="B25" s="559"/>
      <c r="C25" s="162" t="s">
        <v>37</v>
      </c>
      <c r="D25" s="164">
        <f>IF(C25="Yes",D21*(1/3),0)</f>
        <v>0</v>
      </c>
      <c r="E25" s="562"/>
      <c r="F25" s="160"/>
      <c r="G25" s="163"/>
      <c r="H25" s="164"/>
      <c r="K25" s="41"/>
      <c r="L25" s="41"/>
      <c r="M25" s="41"/>
    </row>
    <row r="26" spans="1:13" ht="14.25" customHeight="1">
      <c r="A26" s="175" t="s">
        <v>166</v>
      </c>
      <c r="B26" s="176"/>
      <c r="C26" s="163"/>
      <c r="D26" s="164">
        <f>D21-SUM(D23:D25)</f>
        <v>60062.549999999996</v>
      </c>
      <c r="E26" s="562"/>
      <c r="F26" s="177"/>
      <c r="G26" s="163"/>
      <c r="H26" s="164"/>
      <c r="K26" s="41"/>
      <c r="L26" s="41"/>
      <c r="M26" s="41"/>
    </row>
    <row r="27" spans="1:13" ht="14.25" customHeight="1">
      <c r="A27" s="559" t="s">
        <v>145</v>
      </c>
      <c r="B27" s="559"/>
      <c r="C27" s="178">
        <v>0.25</v>
      </c>
      <c r="D27" s="164">
        <f>(D26-D28-D29-D30)*C27</f>
        <v>5115.484375</v>
      </c>
      <c r="E27" s="562"/>
      <c r="F27" s="177"/>
      <c r="G27" s="163"/>
      <c r="H27" s="164"/>
      <c r="K27" s="41"/>
      <c r="L27" s="41"/>
      <c r="M27" s="41"/>
    </row>
    <row r="28" spans="1:13" ht="14.25" customHeight="1">
      <c r="A28" s="510" t="s">
        <v>85</v>
      </c>
      <c r="B28" s="510"/>
      <c r="C28" s="171">
        <v>0.75</v>
      </c>
      <c r="D28" s="164">
        <f>(D15+D16)*C28</f>
        <v>37439.962499999994</v>
      </c>
      <c r="E28" s="562"/>
      <c r="F28" s="177"/>
      <c r="G28" s="163"/>
      <c r="H28" s="164"/>
      <c r="K28" s="41"/>
      <c r="L28" s="41"/>
      <c r="M28" s="41"/>
    </row>
    <row r="29" spans="1:13" ht="14.25" customHeight="1">
      <c r="A29" s="530" t="s">
        <v>226</v>
      </c>
      <c r="B29" s="531"/>
      <c r="C29" s="171">
        <v>0.2</v>
      </c>
      <c r="D29" s="164">
        <f>D18*C29</f>
        <v>1728.5200000000002</v>
      </c>
      <c r="E29" s="562"/>
      <c r="F29" s="177"/>
      <c r="G29" s="163"/>
      <c r="H29" s="164"/>
      <c r="K29" s="41"/>
      <c r="L29" s="41"/>
      <c r="M29" s="41"/>
    </row>
    <row r="30" spans="1:13" ht="14.25" customHeight="1">
      <c r="A30" s="510" t="s">
        <v>225</v>
      </c>
      <c r="B30" s="510"/>
      <c r="C30" s="50">
        <v>0.05</v>
      </c>
      <c r="D30" s="164">
        <f>D18*C30</f>
        <v>432.13000000000005</v>
      </c>
      <c r="E30" s="562"/>
      <c r="F30" s="177"/>
      <c r="G30" s="163"/>
      <c r="H30" s="164"/>
      <c r="K30" s="41"/>
      <c r="L30" s="41"/>
      <c r="M30" s="41"/>
    </row>
    <row r="31" spans="1:13" ht="14.25" customHeight="1">
      <c r="A31" s="555" t="s">
        <v>86</v>
      </c>
      <c r="B31" s="555"/>
      <c r="C31" s="555"/>
      <c r="D31" s="179">
        <f>D26-(D27+D28+D29+D30)</f>
        <v>15346.453125000007</v>
      </c>
      <c r="E31" s="562"/>
      <c r="F31" s="555" t="s">
        <v>87</v>
      </c>
      <c r="G31" s="555"/>
      <c r="H31" s="170">
        <f>H21-H22</f>
        <v>44392</v>
      </c>
      <c r="K31" s="41"/>
      <c r="L31" s="41"/>
      <c r="M31" s="41"/>
    </row>
    <row r="32" spans="1:13" ht="14.25" customHeight="1">
      <c r="A32" s="180"/>
      <c r="B32" s="180"/>
      <c r="C32" s="181"/>
      <c r="D32" s="180"/>
      <c r="E32" s="180"/>
      <c r="F32" s="182"/>
      <c r="G32" s="180"/>
      <c r="H32" s="183"/>
      <c r="K32" s="41"/>
      <c r="L32" s="41"/>
      <c r="M32" s="41"/>
    </row>
    <row r="33" spans="1:13" ht="14.25" customHeight="1">
      <c r="A33" s="506"/>
      <c r="B33" s="141"/>
      <c r="C33" s="556"/>
      <c r="D33" s="556"/>
      <c r="E33" s="556"/>
      <c r="F33" s="397" t="s">
        <v>88</v>
      </c>
      <c r="G33" s="65" t="s">
        <v>89</v>
      </c>
      <c r="H33" s="66" t="s">
        <v>38</v>
      </c>
      <c r="M33" s="41"/>
    </row>
    <row r="34" spans="1:13" ht="14.25" customHeight="1">
      <c r="A34" s="506"/>
      <c r="B34" s="141"/>
      <c r="C34" s="557" t="s">
        <v>90</v>
      </c>
      <c r="D34" s="557"/>
      <c r="E34" s="557"/>
      <c r="F34" s="398">
        <f>D31</f>
        <v>15346.453125000007</v>
      </c>
      <c r="G34" s="44">
        <f>H31</f>
        <v>44392</v>
      </c>
      <c r="H34" s="184">
        <f>SUM(F34:G34)</f>
        <v>59738.45312500001</v>
      </c>
      <c r="I34" s="185"/>
      <c r="M34" s="41"/>
    </row>
    <row r="35" spans="1:13" ht="14.25" customHeight="1">
      <c r="A35" s="506"/>
      <c r="B35" s="141"/>
      <c r="C35" s="558" t="s">
        <v>146</v>
      </c>
      <c r="D35" s="558"/>
      <c r="E35" s="558"/>
      <c r="F35" s="149">
        <f>(D31+H13+H16+H18+H20)*0.18</f>
        <v>2789.361562500001</v>
      </c>
      <c r="G35" s="184">
        <f>(H12+H14)*0.12</f>
        <v>5309.04</v>
      </c>
      <c r="H35" s="184">
        <f>SUM(F35:G35)</f>
        <v>8098.401562500001</v>
      </c>
      <c r="I35" s="185"/>
      <c r="M35" s="41"/>
    </row>
    <row r="36" spans="1:13" ht="14.25" customHeight="1">
      <c r="A36" s="506"/>
      <c r="B36" s="141"/>
      <c r="C36" s="557" t="s">
        <v>167</v>
      </c>
      <c r="D36" s="557"/>
      <c r="E36" s="557"/>
      <c r="F36" s="399">
        <f>SUM(F34:F35)</f>
        <v>18135.81468750001</v>
      </c>
      <c r="G36" s="135">
        <f>SUM(G34:G35)</f>
        <v>49701.04</v>
      </c>
      <c r="H36" s="135">
        <f>SUM(H34:H35)</f>
        <v>67836.8546875</v>
      </c>
      <c r="M36" s="41"/>
    </row>
    <row r="37" spans="1:13" ht="14.25" customHeight="1">
      <c r="A37" s="185"/>
      <c r="B37" s="185"/>
      <c r="C37" s="185"/>
      <c r="D37" s="185"/>
      <c r="E37" s="185"/>
      <c r="F37" s="185"/>
      <c r="G37" s="185"/>
      <c r="H37" s="185"/>
      <c r="M37" s="41"/>
    </row>
    <row r="38" spans="1:19" s="26" customFormat="1" ht="13.5">
      <c r="A38" s="532" t="s">
        <v>220</v>
      </c>
      <c r="B38" s="532"/>
      <c r="C38" s="27"/>
      <c r="M38" s="41"/>
      <c r="N38" s="155"/>
      <c r="O38" s="155"/>
      <c r="P38" s="155"/>
      <c r="Q38" s="155"/>
      <c r="R38" s="155"/>
      <c r="S38" s="155"/>
    </row>
    <row r="39" spans="1:19" s="26" customFormat="1" ht="13.5">
      <c r="A39" s="385" t="s">
        <v>215</v>
      </c>
      <c r="B39" s="385" t="s">
        <v>216</v>
      </c>
      <c r="C39" s="27"/>
      <c r="M39" s="41"/>
      <c r="N39" s="155"/>
      <c r="O39" s="155"/>
      <c r="P39" s="155"/>
      <c r="Q39" s="155"/>
      <c r="R39" s="155"/>
      <c r="S39" s="155"/>
    </row>
    <row r="40" spans="1:19" s="26" customFormat="1" ht="13.5">
      <c r="A40" s="385" t="s">
        <v>217</v>
      </c>
      <c r="B40" s="386">
        <v>0.1</v>
      </c>
      <c r="C40" s="27"/>
      <c r="M40" s="41"/>
      <c r="N40" s="155"/>
      <c r="O40" s="155"/>
      <c r="P40" s="155"/>
      <c r="Q40" s="155"/>
      <c r="R40" s="155"/>
      <c r="S40" s="155"/>
    </row>
    <row r="41" spans="1:3" s="26" customFormat="1" ht="13.5">
      <c r="A41" s="385" t="s">
        <v>218</v>
      </c>
      <c r="B41" s="386">
        <v>0.2</v>
      </c>
      <c r="C41" s="27"/>
    </row>
    <row r="42" spans="1:3" s="26" customFormat="1" ht="13.5">
      <c r="A42" s="385" t="s">
        <v>219</v>
      </c>
      <c r="B42" s="386">
        <v>0.3</v>
      </c>
      <c r="C42" s="27"/>
    </row>
    <row r="43" ht="14.25" customHeight="1">
      <c r="F43" s="186"/>
    </row>
    <row r="46" ht="14.25" customHeight="1" hidden="1"/>
    <row r="47" ht="14.25" customHeight="1" hidden="1"/>
    <row r="48" spans="1:3" ht="26.25" customHeight="1" hidden="1">
      <c r="A48" s="73" t="s">
        <v>92</v>
      </c>
      <c r="B48" s="73"/>
      <c r="C48" s="73" t="s">
        <v>93</v>
      </c>
    </row>
    <row r="49" spans="1:3" ht="14.25" customHeight="1" hidden="1">
      <c r="A49" s="73" t="b">
        <f>IF(C17="Yes",IF(C49=0,4.5%,IF(C49=1,5.5%,IF(C49=2,7%,0))))</f>
        <v>0</v>
      </c>
      <c r="B49" s="73"/>
      <c r="C49" s="74">
        <f ca="1">YEAR(TODAY())-(H6)</f>
        <v>3</v>
      </c>
    </row>
    <row r="50" ht="14.25" customHeight="1" hidden="1"/>
  </sheetData>
  <sheetProtection password="CEED" sheet="1"/>
  <mergeCells count="45">
    <mergeCell ref="A6:C6"/>
    <mergeCell ref="F6:G6"/>
    <mergeCell ref="A7:C7"/>
    <mergeCell ref="A1:H1"/>
    <mergeCell ref="A2:H2"/>
    <mergeCell ref="J2:K3"/>
    <mergeCell ref="C3:H3"/>
    <mergeCell ref="C4:H4"/>
    <mergeCell ref="A5:H5"/>
    <mergeCell ref="F7:G7"/>
    <mergeCell ref="A8:C8"/>
    <mergeCell ref="F8:G8"/>
    <mergeCell ref="A9:H9"/>
    <mergeCell ref="A10:D10"/>
    <mergeCell ref="E10:E31"/>
    <mergeCell ref="F10:H10"/>
    <mergeCell ref="A11:B11"/>
    <mergeCell ref="F11:H11"/>
    <mergeCell ref="A12:B12"/>
    <mergeCell ref="F12:G12"/>
    <mergeCell ref="A13:B13"/>
    <mergeCell ref="A14:B14"/>
    <mergeCell ref="A15:B15"/>
    <mergeCell ref="F15:G15"/>
    <mergeCell ref="A16:B16"/>
    <mergeCell ref="F14:G14"/>
    <mergeCell ref="A17:B17"/>
    <mergeCell ref="A18:B18"/>
    <mergeCell ref="A24:B24"/>
    <mergeCell ref="A20:B20"/>
    <mergeCell ref="A21:B21"/>
    <mergeCell ref="A22:B22"/>
    <mergeCell ref="A25:B25"/>
    <mergeCell ref="A27:B27"/>
    <mergeCell ref="A38:B38"/>
    <mergeCell ref="A28:B28"/>
    <mergeCell ref="A30:B30"/>
    <mergeCell ref="A31:C31"/>
    <mergeCell ref="A29:B29"/>
    <mergeCell ref="F31:G31"/>
    <mergeCell ref="A33:A36"/>
    <mergeCell ref="C33:E33"/>
    <mergeCell ref="C34:E34"/>
    <mergeCell ref="C35:E35"/>
    <mergeCell ref="C36:E36"/>
  </mergeCells>
  <dataValidations count="8">
    <dataValidation allowBlank="1" showErrorMessage="1" sqref="C28">
      <formula1>0</formula1>
      <formula2>0</formula2>
    </dataValidation>
    <dataValidation type="list" allowBlank="1" showErrorMessage="1" sqref="G22">
      <formula1>"750000,6000"</formula1>
      <formula2>0</formula2>
    </dataValidation>
    <dataValidation type="list" allowBlank="1" showErrorMessage="1" sqref="G13 C16:C17 G16 G18 C19:C20 C23:C25">
      <formula1>"Yes,No"</formula1>
      <formula2>0</formula2>
    </dataValidation>
    <dataValidation type="list" allowBlank="1" showErrorMessage="1" sqref="C27">
      <formula1>"0%,20%,25%,35%,45%,50%,"</formula1>
      <formula2>0</formula2>
    </dataValidation>
    <dataValidation type="list" allowBlank="1" showErrorMessage="1" sqref="C18">
      <formula1>"0%,10%,20%,30%,"</formula1>
    </dataValidation>
    <dataValidation type="list" allowBlank="1" showErrorMessage="1" sqref="H8">
      <formula1>"A,B,C"</formula1>
      <formula2>0</formula2>
    </dataValidation>
    <dataValidation type="list" allowBlank="1" showErrorMessage="1" sqref="C30">
      <formula1>"0%,20%"</formula1>
    </dataValidation>
    <dataValidation type="list" allowBlank="1" showErrorMessage="1" sqref="C29">
      <formula1>"0,20%"</formula1>
    </dataValidation>
  </dataValidations>
  <hyperlinks>
    <hyperlink ref="J2" location="HyperLink!A1" display="BACK"/>
  </hyperlinks>
  <printOptions/>
  <pageMargins left="0.32013888888888886" right="0.12013888888888889" top="0.9840277777777777" bottom="0.6798611111111111" header="0.5118055555555555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H8" sqref="H8"/>
    </sheetView>
  </sheetViews>
  <sheetFormatPr defaultColWidth="9.140625" defaultRowHeight="16.5" customHeight="1"/>
  <cols>
    <col min="1" max="1" width="30.7109375" style="26" customWidth="1"/>
    <col min="2" max="2" width="6.57421875" style="26" customWidth="1"/>
    <col min="3" max="3" width="7.140625" style="26" customWidth="1"/>
    <col min="4" max="4" width="10.7109375" style="26" customWidth="1"/>
    <col min="5" max="5" width="3.140625" style="26" customWidth="1"/>
    <col min="6" max="6" width="25.28125" style="26" customWidth="1"/>
    <col min="7" max="7" width="8.57421875" style="26" customWidth="1"/>
    <col min="8" max="8" width="10.7109375" style="26" customWidth="1"/>
    <col min="9" max="9" width="2.8515625" style="28" customWidth="1"/>
    <col min="10" max="10" width="4.28125" style="26" customWidth="1"/>
    <col min="11" max="11" width="5.00390625" style="26" customWidth="1"/>
    <col min="12" max="12" width="8.421875" style="26" customWidth="1"/>
    <col min="13" max="13" width="6.7109375" style="26" customWidth="1"/>
    <col min="14" max="14" width="36.7109375" style="187" customWidth="1"/>
    <col min="15" max="16" width="7.00390625" style="26" customWidth="1"/>
    <col min="17" max="16384" width="9.140625" style="26" customWidth="1"/>
  </cols>
  <sheetData>
    <row r="1" spans="1:16" s="155" customFormat="1" ht="16.5" customHeight="1">
      <c r="A1" s="581" t="s">
        <v>0</v>
      </c>
      <c r="B1" s="581"/>
      <c r="C1" s="581"/>
      <c r="D1" s="581"/>
      <c r="E1" s="581"/>
      <c r="F1" s="581"/>
      <c r="G1" s="581"/>
      <c r="H1" s="581"/>
      <c r="I1" s="185"/>
      <c r="P1" s="188"/>
    </row>
    <row r="2" spans="1:16" ht="16.5" customHeight="1">
      <c r="A2" s="513" t="s">
        <v>237</v>
      </c>
      <c r="B2" s="513"/>
      <c r="C2" s="513"/>
      <c r="D2" s="513" t="s">
        <v>93</v>
      </c>
      <c r="E2" s="513"/>
      <c r="F2" s="513"/>
      <c r="G2" s="513"/>
      <c r="H2" s="513"/>
      <c r="J2" s="582" t="s">
        <v>28</v>
      </c>
      <c r="K2" s="582"/>
      <c r="O2" s="157"/>
      <c r="P2" s="189"/>
    </row>
    <row r="3" spans="1:11" ht="16.5" customHeight="1">
      <c r="A3" s="30" t="s">
        <v>128</v>
      </c>
      <c r="B3" s="30"/>
      <c r="C3" s="515"/>
      <c r="D3" s="515"/>
      <c r="E3" s="515"/>
      <c r="F3" s="515"/>
      <c r="G3" s="515"/>
      <c r="H3" s="515"/>
      <c r="J3" s="582"/>
      <c r="K3" s="582"/>
    </row>
    <row r="4" spans="1:8" ht="16.5" customHeight="1">
      <c r="A4" s="30" t="s">
        <v>45</v>
      </c>
      <c r="B4" s="30"/>
      <c r="C4" s="515"/>
      <c r="D4" s="515"/>
      <c r="E4" s="515"/>
      <c r="F4" s="515"/>
      <c r="G4" s="515"/>
      <c r="H4" s="515"/>
    </row>
    <row r="5" spans="1:8" ht="16.5" customHeight="1">
      <c r="A5" s="504" t="s">
        <v>46</v>
      </c>
      <c r="B5" s="504"/>
      <c r="C5" s="504"/>
      <c r="D5" s="504"/>
      <c r="E5" s="504"/>
      <c r="F5" s="504"/>
      <c r="G5" s="504"/>
      <c r="H5" s="504"/>
    </row>
    <row r="6" spans="1:8" ht="16.5" customHeight="1">
      <c r="A6" s="510" t="s">
        <v>148</v>
      </c>
      <c r="B6" s="510"/>
      <c r="C6" s="510"/>
      <c r="D6" s="34">
        <v>2050000</v>
      </c>
      <c r="E6" s="510"/>
      <c r="F6" s="510" t="s">
        <v>53</v>
      </c>
      <c r="G6" s="510"/>
      <c r="H6" s="39">
        <v>2018</v>
      </c>
    </row>
    <row r="7" spans="1:10" ht="16.5" customHeight="1">
      <c r="A7" s="510" t="s">
        <v>60</v>
      </c>
      <c r="B7" s="510"/>
      <c r="C7" s="510"/>
      <c r="D7" s="34">
        <v>0</v>
      </c>
      <c r="E7" s="510"/>
      <c r="F7" s="510" t="s">
        <v>149</v>
      </c>
      <c r="G7" s="510"/>
      <c r="H7" s="39">
        <v>25000</v>
      </c>
      <c r="J7" s="190"/>
    </row>
    <row r="8" spans="1:14" s="41" customFormat="1" ht="16.5" customHeight="1">
      <c r="A8" s="510" t="s">
        <v>150</v>
      </c>
      <c r="B8" s="510"/>
      <c r="C8" s="510"/>
      <c r="D8" s="34">
        <v>0</v>
      </c>
      <c r="E8" s="510"/>
      <c r="F8" s="580" t="s">
        <v>48</v>
      </c>
      <c r="G8" s="580"/>
      <c r="H8" s="36" t="s">
        <v>151</v>
      </c>
      <c r="I8" s="191"/>
      <c r="N8" s="192"/>
    </row>
    <row r="9" spans="1:17" ht="16.5" customHeight="1">
      <c r="A9" s="503" t="s">
        <v>152</v>
      </c>
      <c r="B9" s="503"/>
      <c r="C9" s="503"/>
      <c r="D9" s="503"/>
      <c r="E9" s="503"/>
      <c r="F9" s="503"/>
      <c r="G9" s="503"/>
      <c r="H9" s="503"/>
      <c r="O9" s="41"/>
      <c r="P9" s="41"/>
      <c r="Q9" s="41"/>
    </row>
    <row r="10" spans="1:16" ht="16.5" customHeight="1">
      <c r="A10" s="504" t="s">
        <v>56</v>
      </c>
      <c r="B10" s="504"/>
      <c r="C10" s="504"/>
      <c r="D10" s="504"/>
      <c r="E10" s="505"/>
      <c r="F10" s="504" t="s">
        <v>57</v>
      </c>
      <c r="G10" s="504"/>
      <c r="H10" s="504"/>
      <c r="O10" s="41"/>
      <c r="P10" s="41"/>
    </row>
    <row r="11" spans="1:16" ht="16.5" customHeight="1">
      <c r="A11" s="43" t="s">
        <v>153</v>
      </c>
      <c r="B11" s="43"/>
      <c r="C11" s="45"/>
      <c r="D11" s="44">
        <f>Database!$J$16</f>
        <v>24764</v>
      </c>
      <c r="E11" s="505"/>
      <c r="F11" s="510"/>
      <c r="G11" s="510"/>
      <c r="H11" s="510"/>
      <c r="O11" s="41"/>
      <c r="P11" s="41"/>
    </row>
    <row r="12" spans="1:16" ht="16.5" customHeight="1">
      <c r="A12" s="43" t="s">
        <v>60</v>
      </c>
      <c r="B12" s="43"/>
      <c r="C12" s="45"/>
      <c r="D12" s="44">
        <f>D7*0.04</f>
        <v>0</v>
      </c>
      <c r="E12" s="505"/>
      <c r="F12" s="510" t="s">
        <v>99</v>
      </c>
      <c r="G12" s="510"/>
      <c r="H12" s="44">
        <f>Database!M11</f>
        <v>17626</v>
      </c>
      <c r="O12" s="41"/>
      <c r="P12" s="41"/>
    </row>
    <row r="13" spans="1:17" s="41" customFormat="1" ht="16.5" customHeight="1">
      <c r="A13" s="43" t="s">
        <v>155</v>
      </c>
      <c r="B13" s="43"/>
      <c r="C13" s="45"/>
      <c r="D13" s="44">
        <f>Database!$J$17</f>
        <v>3510.0000000000005</v>
      </c>
      <c r="E13" s="505"/>
      <c r="F13" s="165" t="s">
        <v>135</v>
      </c>
      <c r="G13" s="166" t="s">
        <v>37</v>
      </c>
      <c r="H13" s="167">
        <f>IF(G13="Yes",320,0)</f>
        <v>0</v>
      </c>
      <c r="I13" s="191"/>
      <c r="K13" s="26"/>
      <c r="L13" s="26"/>
      <c r="M13" s="26"/>
      <c r="N13" s="187"/>
      <c r="Q13" s="47"/>
    </row>
    <row r="14" spans="1:17" ht="16.5" customHeight="1">
      <c r="A14" s="43" t="s">
        <v>156</v>
      </c>
      <c r="B14" s="43"/>
      <c r="C14" s="45"/>
      <c r="D14" s="44">
        <f>IF(D8&gt;0,D8*0.04,0)</f>
        <v>0</v>
      </c>
      <c r="E14" s="505"/>
      <c r="F14" s="510" t="s">
        <v>156</v>
      </c>
      <c r="G14" s="510"/>
      <c r="H14" s="44">
        <f>IF(D8&gt;0,60,0)</f>
        <v>0</v>
      </c>
      <c r="O14" s="41"/>
      <c r="P14" s="41"/>
      <c r="Q14" s="47"/>
    </row>
    <row r="15" spans="1:17" ht="16.5" customHeight="1">
      <c r="A15" s="504" t="s">
        <v>65</v>
      </c>
      <c r="B15" s="504"/>
      <c r="C15" s="504"/>
      <c r="D15" s="58">
        <f>D11+D12+D13+D14</f>
        <v>28274</v>
      </c>
      <c r="E15" s="505"/>
      <c r="F15" s="504" t="s">
        <v>157</v>
      </c>
      <c r="G15" s="504"/>
      <c r="H15" s="58">
        <f>SUM(H12:H13)</f>
        <v>17626</v>
      </c>
      <c r="O15" s="41"/>
      <c r="P15" s="41"/>
      <c r="Q15" s="47"/>
    </row>
    <row r="16" spans="1:17" ht="16.5" customHeight="1">
      <c r="A16" s="43" t="s">
        <v>158</v>
      </c>
      <c r="B16" s="43"/>
      <c r="C16" s="36" t="s">
        <v>62</v>
      </c>
      <c r="D16" s="44">
        <f>IF(C16="Yes",(SUM(D11:D13)+D14+D19+D20)*0.15,0)</f>
        <v>4497.974999999999</v>
      </c>
      <c r="E16" s="505"/>
      <c r="F16" s="43" t="s">
        <v>136</v>
      </c>
      <c r="G16" s="36" t="s">
        <v>62</v>
      </c>
      <c r="H16" s="44">
        <f>IF(G16="Yes",50*G17,0)</f>
        <v>150</v>
      </c>
      <c r="O16" s="41"/>
      <c r="P16" s="41"/>
      <c r="Q16" s="47"/>
    </row>
    <row r="17" spans="1:16" ht="16.5" customHeight="1">
      <c r="A17" s="43" t="s">
        <v>137</v>
      </c>
      <c r="B17" s="43"/>
      <c r="C17" s="162" t="s">
        <v>37</v>
      </c>
      <c r="D17" s="44">
        <f>D6*A45/10</f>
        <v>0</v>
      </c>
      <c r="E17" s="505"/>
      <c r="F17" s="43" t="s">
        <v>168</v>
      </c>
      <c r="G17" s="36">
        <v>3</v>
      </c>
      <c r="H17" s="44"/>
      <c r="O17" s="41"/>
      <c r="P17" s="41"/>
    </row>
    <row r="18" spans="1:17" ht="16.5" customHeight="1">
      <c r="A18" s="43" t="s">
        <v>160</v>
      </c>
      <c r="B18" s="43"/>
      <c r="C18" s="50">
        <v>0.2</v>
      </c>
      <c r="D18" s="44">
        <f>(D15+D20)*C18</f>
        <v>5734.8</v>
      </c>
      <c r="E18" s="505"/>
      <c r="F18" s="130" t="s">
        <v>161</v>
      </c>
      <c r="G18" s="36" t="s">
        <v>62</v>
      </c>
      <c r="H18" s="44">
        <f>IF(G18="Yes",75*G19,0)</f>
        <v>0</v>
      </c>
      <c r="O18" s="41"/>
      <c r="P18" s="41"/>
      <c r="Q18" s="47"/>
    </row>
    <row r="19" spans="1:17" s="41" customFormat="1" ht="16.5" customHeight="1">
      <c r="A19" s="160" t="s">
        <v>162</v>
      </c>
      <c r="B19" s="173">
        <v>17500</v>
      </c>
      <c r="C19" s="162" t="s">
        <v>62</v>
      </c>
      <c r="D19" s="164">
        <f>IF(C19="Yes",B19*0.075,0)</f>
        <v>1312.5</v>
      </c>
      <c r="E19" s="505"/>
      <c r="F19" s="43" t="s">
        <v>169</v>
      </c>
      <c r="G19" s="36">
        <v>0</v>
      </c>
      <c r="H19" s="44"/>
      <c r="I19" s="191"/>
      <c r="K19" s="26"/>
      <c r="L19" s="26"/>
      <c r="M19" s="26"/>
      <c r="N19" s="187"/>
      <c r="Q19" s="42"/>
    </row>
    <row r="20" spans="1:16" ht="16.5" customHeight="1">
      <c r="A20" s="43" t="s">
        <v>70</v>
      </c>
      <c r="B20" s="43"/>
      <c r="C20" s="36" t="s">
        <v>62</v>
      </c>
      <c r="D20" s="44">
        <f>IF(C20="Yes",400,0)</f>
        <v>400</v>
      </c>
      <c r="E20" s="505"/>
      <c r="F20" s="43" t="s">
        <v>70</v>
      </c>
      <c r="G20" s="43"/>
      <c r="H20" s="44">
        <f>IF(C20="yes",100,0)</f>
        <v>100</v>
      </c>
      <c r="O20" s="41"/>
      <c r="P20" s="41"/>
    </row>
    <row r="21" spans="1:16" ht="16.5" customHeight="1">
      <c r="A21" s="504" t="s">
        <v>142</v>
      </c>
      <c r="B21" s="504"/>
      <c r="C21" s="504"/>
      <c r="D21" s="58">
        <f>SUM(D15:D20)</f>
        <v>40219.275</v>
      </c>
      <c r="E21" s="505"/>
      <c r="F21" s="504" t="s">
        <v>164</v>
      </c>
      <c r="G21" s="504"/>
      <c r="H21" s="58">
        <f>SUM(H15,H16,H18,H20)</f>
        <v>17876</v>
      </c>
      <c r="O21" s="41"/>
      <c r="P21" s="41"/>
    </row>
    <row r="22" spans="1:16" ht="16.5" customHeight="1">
      <c r="A22" s="43" t="s">
        <v>165</v>
      </c>
      <c r="B22" s="43"/>
      <c r="C22" s="45"/>
      <c r="D22" s="44"/>
      <c r="E22" s="505"/>
      <c r="F22" s="43" t="s">
        <v>118</v>
      </c>
      <c r="G22" s="36">
        <v>750000</v>
      </c>
      <c r="H22" s="44">
        <f>IF(G22=750000,0,200)</f>
        <v>0</v>
      </c>
      <c r="P22" s="41"/>
    </row>
    <row r="23" spans="1:8" ht="16.5" customHeight="1">
      <c r="A23" s="43" t="s">
        <v>117</v>
      </c>
      <c r="B23" s="43"/>
      <c r="C23" s="36" t="s">
        <v>37</v>
      </c>
      <c r="D23" s="44">
        <f>IF(C23="Yes",MIN(D21*0.025,500),0)</f>
        <v>0</v>
      </c>
      <c r="E23" s="505"/>
      <c r="F23" s="43"/>
      <c r="G23" s="45"/>
      <c r="H23" s="44"/>
    </row>
    <row r="24" spans="1:8" ht="16.5" customHeight="1">
      <c r="A24" s="43" t="s">
        <v>79</v>
      </c>
      <c r="B24" s="43"/>
      <c r="C24" s="36" t="s">
        <v>37</v>
      </c>
      <c r="D24" s="44">
        <f>IF(C24="Yes",MIN(D21*0.05,200),0)</f>
        <v>0</v>
      </c>
      <c r="E24" s="505"/>
      <c r="F24" s="43"/>
      <c r="G24" s="45"/>
      <c r="H24" s="44"/>
    </row>
    <row r="25" spans="1:8" ht="16.5" customHeight="1">
      <c r="A25" s="43" t="s">
        <v>144</v>
      </c>
      <c r="B25" s="43"/>
      <c r="C25" s="36" t="s">
        <v>37</v>
      </c>
      <c r="D25" s="44">
        <f>IF(C25="Yes",D21*(1/3),0)</f>
        <v>0</v>
      </c>
      <c r="E25" s="505"/>
      <c r="F25" s="43"/>
      <c r="G25" s="45"/>
      <c r="H25" s="44"/>
    </row>
    <row r="26" spans="1:8" ht="16.5" customHeight="1">
      <c r="A26" s="504" t="s">
        <v>166</v>
      </c>
      <c r="B26" s="504"/>
      <c r="C26" s="504"/>
      <c r="D26" s="44">
        <f>D21-SUM(D23:D25)</f>
        <v>40219.275</v>
      </c>
      <c r="E26" s="505"/>
      <c r="F26" s="48"/>
      <c r="G26" s="45"/>
      <c r="H26" s="44"/>
    </row>
    <row r="27" spans="1:8" ht="16.5" customHeight="1">
      <c r="A27" s="43" t="s">
        <v>145</v>
      </c>
      <c r="B27" s="43"/>
      <c r="C27" s="193">
        <v>0.2</v>
      </c>
      <c r="D27" s="164">
        <f>(D26-D28-D18)*C27</f>
        <v>1325.6592500000006</v>
      </c>
      <c r="E27" s="505"/>
      <c r="F27" s="48"/>
      <c r="G27" s="45"/>
      <c r="H27" s="44"/>
    </row>
    <row r="28" spans="1:8" ht="16.5" customHeight="1">
      <c r="A28" s="43" t="s">
        <v>85</v>
      </c>
      <c r="B28" s="43"/>
      <c r="C28" s="57">
        <v>0.85</v>
      </c>
      <c r="D28" s="164">
        <f>(D15+D16)*C28</f>
        <v>27856.17875</v>
      </c>
      <c r="E28" s="505"/>
      <c r="F28" s="43"/>
      <c r="G28" s="45"/>
      <c r="H28" s="44"/>
    </row>
    <row r="29" spans="1:13" s="155" customFormat="1" ht="14.25" customHeight="1">
      <c r="A29" s="530" t="s">
        <v>226</v>
      </c>
      <c r="B29" s="531"/>
      <c r="C29" s="171">
        <v>0.2</v>
      </c>
      <c r="D29" s="164">
        <f>D18*C29</f>
        <v>1146.96</v>
      </c>
      <c r="E29" s="505"/>
      <c r="F29" s="177"/>
      <c r="G29" s="163"/>
      <c r="H29" s="164"/>
      <c r="K29" s="41"/>
      <c r="L29" s="41"/>
      <c r="M29" s="41"/>
    </row>
    <row r="30" spans="1:8" ht="16.5" customHeight="1">
      <c r="A30" s="43" t="s">
        <v>225</v>
      </c>
      <c r="B30" s="43"/>
      <c r="C30" s="50">
        <v>0.05</v>
      </c>
      <c r="D30" s="164">
        <f>D18*C30</f>
        <v>286.74</v>
      </c>
      <c r="E30" s="505"/>
      <c r="F30" s="43"/>
      <c r="G30" s="45"/>
      <c r="H30" s="44"/>
    </row>
    <row r="31" spans="1:8" ht="16.5" customHeight="1">
      <c r="A31" s="504" t="s">
        <v>86</v>
      </c>
      <c r="B31" s="504"/>
      <c r="C31" s="504"/>
      <c r="D31" s="179">
        <f>D26-(D27+D28+D29+D30)</f>
        <v>9603.737000000001</v>
      </c>
      <c r="E31" s="505"/>
      <c r="F31" s="504" t="s">
        <v>87</v>
      </c>
      <c r="G31" s="504"/>
      <c r="H31" s="44">
        <f>H21-H22+H28</f>
        <v>17876</v>
      </c>
    </row>
    <row r="32" spans="1:8" ht="16.5" customHeight="1">
      <c r="A32" s="194"/>
      <c r="B32" s="137"/>
      <c r="C32" s="195"/>
      <c r="D32" s="137"/>
      <c r="E32" s="137"/>
      <c r="F32" s="196"/>
      <c r="G32" s="137"/>
      <c r="H32" s="138"/>
    </row>
    <row r="33" spans="1:8" ht="16.5" customHeight="1">
      <c r="A33" s="570"/>
      <c r="B33" s="141"/>
      <c r="C33" s="197"/>
      <c r="D33" s="198"/>
      <c r="E33" s="198"/>
      <c r="F33" s="199" t="s">
        <v>88</v>
      </c>
      <c r="G33" s="65" t="s">
        <v>89</v>
      </c>
      <c r="H33" s="66" t="s">
        <v>38</v>
      </c>
    </row>
    <row r="34" spans="1:8" ht="16.5" customHeight="1">
      <c r="A34" s="571"/>
      <c r="B34" s="453"/>
      <c r="C34" s="573" t="s">
        <v>90</v>
      </c>
      <c r="D34" s="550"/>
      <c r="E34" s="507"/>
      <c r="F34" s="68">
        <f>D31</f>
        <v>9603.737000000001</v>
      </c>
      <c r="G34" s="44">
        <f>H31</f>
        <v>17876</v>
      </c>
      <c r="H34" s="184">
        <f>SUM(F34:G34)</f>
        <v>27479.737</v>
      </c>
    </row>
    <row r="35" spans="1:8" ht="16.5" customHeight="1">
      <c r="A35" s="571"/>
      <c r="B35" s="453"/>
      <c r="C35" s="574" t="s">
        <v>146</v>
      </c>
      <c r="D35" s="575"/>
      <c r="E35" s="576"/>
      <c r="F35" s="149">
        <f>(D31+H13+H16+H18+H20)*0.18</f>
        <v>1773.6726600000002</v>
      </c>
      <c r="G35" s="184">
        <f>(H12+H14)*0.12</f>
        <v>2115.12</v>
      </c>
      <c r="H35" s="184">
        <f>SUM(F35:G35)</f>
        <v>3888.79266</v>
      </c>
    </row>
    <row r="36" spans="1:12" ht="16.5" customHeight="1">
      <c r="A36" s="572"/>
      <c r="B36" s="453"/>
      <c r="C36" s="577" t="s">
        <v>167</v>
      </c>
      <c r="D36" s="578"/>
      <c r="E36" s="579"/>
      <c r="F36" s="200">
        <f>SUM(F34:F35)</f>
        <v>11377.409660000001</v>
      </c>
      <c r="G36" s="200">
        <f>SUM(G34:G35)</f>
        <v>19991.12</v>
      </c>
      <c r="H36" s="201">
        <f>SUM(H34:H35)</f>
        <v>31368.52966</v>
      </c>
      <c r="J36" s="28"/>
      <c r="K36" s="28"/>
      <c r="L36" s="28"/>
    </row>
    <row r="37" spans="1:8" ht="16.5" customHeight="1">
      <c r="A37" s="28"/>
      <c r="B37" s="28"/>
      <c r="C37" s="28"/>
      <c r="D37" s="28"/>
      <c r="E37" s="28"/>
      <c r="F37" s="28"/>
      <c r="G37" s="28"/>
      <c r="H37" s="202"/>
    </row>
    <row r="38" spans="1:14" ht="13.5">
      <c r="A38" s="502" t="s">
        <v>220</v>
      </c>
      <c r="B38" s="502"/>
      <c r="C38" s="502"/>
      <c r="D38" s="27"/>
      <c r="I38" s="26"/>
      <c r="N38" s="26"/>
    </row>
    <row r="39" spans="1:14" ht="13.5">
      <c r="A39" s="390" t="s">
        <v>215</v>
      </c>
      <c r="B39" s="390"/>
      <c r="C39" s="390" t="s">
        <v>216</v>
      </c>
      <c r="D39" s="27"/>
      <c r="I39" s="26"/>
      <c r="N39" s="26"/>
    </row>
    <row r="40" spans="1:14" ht="13.5">
      <c r="A40" s="385" t="s">
        <v>217</v>
      </c>
      <c r="B40" s="385"/>
      <c r="C40" s="386">
        <v>0.1</v>
      </c>
      <c r="D40" s="27"/>
      <c r="I40" s="26"/>
      <c r="N40" s="26"/>
    </row>
    <row r="41" spans="1:14" ht="13.5">
      <c r="A41" s="385" t="s">
        <v>218</v>
      </c>
      <c r="B41" s="385"/>
      <c r="C41" s="386">
        <v>0.2</v>
      </c>
      <c r="D41" s="27"/>
      <c r="I41" s="26"/>
      <c r="N41" s="26"/>
    </row>
    <row r="42" spans="1:14" ht="13.5">
      <c r="A42" s="385" t="s">
        <v>219</v>
      </c>
      <c r="B42" s="385"/>
      <c r="C42" s="386">
        <v>0.3</v>
      </c>
      <c r="D42" s="27"/>
      <c r="I42" s="26"/>
      <c r="N42" s="26"/>
    </row>
    <row r="43" spans="1:14" s="155" customFormat="1" ht="16.5" customHeight="1" hidden="1">
      <c r="A43" s="26"/>
      <c r="B43" s="26"/>
      <c r="C43" s="26"/>
      <c r="D43" s="26"/>
      <c r="E43" s="26"/>
      <c r="F43" s="26"/>
      <c r="G43" s="26"/>
      <c r="H43" s="26"/>
      <c r="N43" s="188"/>
    </row>
    <row r="44" spans="1:8" ht="16.5" customHeight="1" hidden="1">
      <c r="A44" s="73" t="s">
        <v>92</v>
      </c>
      <c r="B44" s="73"/>
      <c r="C44" s="73" t="s">
        <v>93</v>
      </c>
      <c r="D44" s="155"/>
      <c r="E44" s="155"/>
      <c r="F44" s="155"/>
      <c r="G44" s="155"/>
      <c r="H44" s="155"/>
    </row>
    <row r="45" spans="1:8" ht="16.5" customHeight="1" hidden="1">
      <c r="A45" s="73" t="b">
        <f>IF(C17="Yes",IF(C45=0,4.5%,IF(C45=1,5.5%,IF(C45=2,7%,0))))</f>
        <v>0</v>
      </c>
      <c r="B45" s="73"/>
      <c r="C45" s="74">
        <f ca="1">YEAR(TODAY())-(H6)</f>
        <v>4</v>
      </c>
      <c r="D45" s="155"/>
      <c r="E45" s="155"/>
      <c r="F45" s="155"/>
      <c r="G45" s="155"/>
      <c r="H45" s="155"/>
    </row>
    <row r="46" ht="16.5" customHeight="1" hidden="1"/>
  </sheetData>
  <sheetProtection password="CEED" sheet="1"/>
  <mergeCells count="33">
    <mergeCell ref="A1:H1"/>
    <mergeCell ref="A2:H2"/>
    <mergeCell ref="J2:K3"/>
    <mergeCell ref="C3:H3"/>
    <mergeCell ref="C4:H4"/>
    <mergeCell ref="A5:H5"/>
    <mergeCell ref="A6:C6"/>
    <mergeCell ref="E6:E8"/>
    <mergeCell ref="F6:G6"/>
    <mergeCell ref="A7:C7"/>
    <mergeCell ref="F7:G7"/>
    <mergeCell ref="A8:C8"/>
    <mergeCell ref="F8:G8"/>
    <mergeCell ref="A9:H9"/>
    <mergeCell ref="A10:D10"/>
    <mergeCell ref="E10:E31"/>
    <mergeCell ref="F10:H10"/>
    <mergeCell ref="F11:H11"/>
    <mergeCell ref="F12:G12"/>
    <mergeCell ref="F14:G14"/>
    <mergeCell ref="A15:C15"/>
    <mergeCell ref="F15:G15"/>
    <mergeCell ref="A21:C21"/>
    <mergeCell ref="A38:C38"/>
    <mergeCell ref="F21:G21"/>
    <mergeCell ref="A26:C26"/>
    <mergeCell ref="A31:C31"/>
    <mergeCell ref="F31:G31"/>
    <mergeCell ref="A33:A36"/>
    <mergeCell ref="C34:E34"/>
    <mergeCell ref="C35:E35"/>
    <mergeCell ref="C36:E36"/>
    <mergeCell ref="A29:B29"/>
  </mergeCells>
  <dataValidations count="8">
    <dataValidation allowBlank="1" showErrorMessage="1" sqref="C28">
      <formula1>0</formula1>
      <formula2>0</formula2>
    </dataValidation>
    <dataValidation type="list" allowBlank="1" showErrorMessage="1" sqref="G13 C16:C17 G16 G18 C23:C25 C19:C20">
      <formula1>"Yes,No"</formula1>
      <formula2>0</formula2>
    </dataValidation>
    <dataValidation type="list" allowBlank="1" showErrorMessage="1" sqref="C27">
      <formula1>"0%,20%,25%,35%,45%,50%,55%,65%"</formula1>
      <formula2>0</formula2>
    </dataValidation>
    <dataValidation type="list" allowBlank="1" showErrorMessage="1" sqref="G22">
      <formula1>"750000,6000"</formula1>
      <formula2>0</formula2>
    </dataValidation>
    <dataValidation type="list" allowBlank="1" showErrorMessage="1" sqref="H8">
      <formula1>"A,B,C"</formula1>
      <formula2>0</formula2>
    </dataValidation>
    <dataValidation type="list" allowBlank="1" showErrorMessage="1" sqref="C18">
      <formula1>"0%,10%,20%,30%,"</formula1>
    </dataValidation>
    <dataValidation type="list" allowBlank="1" showErrorMessage="1" sqref="C30">
      <formula1>"0%,5%"</formula1>
    </dataValidation>
    <dataValidation type="list" allowBlank="1" showErrorMessage="1" sqref="C29">
      <formula1>"0,20%"</formula1>
    </dataValidation>
  </dataValidations>
  <hyperlinks>
    <hyperlink ref="J2" location="HyperLink!A1" display="BACK"/>
  </hyperlinks>
  <printOptions/>
  <pageMargins left="0.5097222222222222" right="0.2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2" sqref="A2:G2"/>
    </sheetView>
  </sheetViews>
  <sheetFormatPr defaultColWidth="9.140625" defaultRowHeight="15.75" customHeight="1"/>
  <cols>
    <col min="1" max="1" width="31.28125" style="28" customWidth="1"/>
    <col min="2" max="2" width="6.57421875" style="28" customWidth="1"/>
    <col min="3" max="3" width="10.140625" style="28" customWidth="1"/>
    <col min="4" max="4" width="2.57421875" style="28" customWidth="1"/>
    <col min="5" max="5" width="23.00390625" style="28" customWidth="1"/>
    <col min="6" max="6" width="10.8515625" style="28" customWidth="1"/>
    <col min="7" max="7" width="11.421875" style="28" customWidth="1"/>
    <col min="8" max="8" width="6.140625" style="28" customWidth="1"/>
    <col min="9" max="9" width="5.57421875" style="28" customWidth="1"/>
    <col min="10" max="10" width="8.421875" style="28" customWidth="1"/>
    <col min="11" max="11" width="4.00390625" style="319" customWidth="1"/>
    <col min="12" max="12" width="16.28125" style="28" customWidth="1"/>
    <col min="13" max="13" width="5.8515625" style="28" customWidth="1"/>
    <col min="14" max="15" width="11.421875" style="28" customWidth="1"/>
    <col min="16" max="16384" width="9.140625" style="28" customWidth="1"/>
  </cols>
  <sheetData>
    <row r="1" spans="1:11" s="26" customFormat="1" ht="17.25" customHeight="1">
      <c r="A1" s="588" t="s">
        <v>0</v>
      </c>
      <c r="B1" s="588"/>
      <c r="C1" s="588"/>
      <c r="D1" s="588"/>
      <c r="E1" s="588"/>
      <c r="F1" s="588"/>
      <c r="G1" s="588"/>
      <c r="H1" s="333"/>
      <c r="K1" s="27"/>
    </row>
    <row r="2" spans="1:13" ht="17.25" customHeight="1">
      <c r="A2" s="504" t="s">
        <v>238</v>
      </c>
      <c r="B2" s="504"/>
      <c r="C2" s="504" t="s">
        <v>93</v>
      </c>
      <c r="D2" s="504"/>
      <c r="E2" s="504"/>
      <c r="F2" s="504"/>
      <c r="G2" s="504"/>
      <c r="H2" s="333"/>
      <c r="J2" s="589" t="s">
        <v>43</v>
      </c>
      <c r="K2" s="589"/>
      <c r="M2" s="47"/>
    </row>
    <row r="3" spans="1:11" ht="17.25" customHeight="1">
      <c r="A3" s="32" t="s">
        <v>128</v>
      </c>
      <c r="B3" s="590"/>
      <c r="C3" s="590"/>
      <c r="D3" s="590"/>
      <c r="E3" s="590"/>
      <c r="F3" s="590"/>
      <c r="G3" s="590"/>
      <c r="H3" s="333"/>
      <c r="J3" s="589"/>
      <c r="K3" s="589"/>
    </row>
    <row r="4" spans="1:8" ht="17.25" customHeight="1">
      <c r="A4" s="32" t="s">
        <v>45</v>
      </c>
      <c r="B4" s="590"/>
      <c r="C4" s="590"/>
      <c r="D4" s="590"/>
      <c r="E4" s="590"/>
      <c r="F4" s="590"/>
      <c r="G4" s="590"/>
      <c r="H4" s="333"/>
    </row>
    <row r="5" spans="1:8" ht="17.25" customHeight="1">
      <c r="A5" s="504" t="s">
        <v>46</v>
      </c>
      <c r="B5" s="504"/>
      <c r="C5" s="504"/>
      <c r="D5" s="504"/>
      <c r="E5" s="504"/>
      <c r="F5" s="504"/>
      <c r="G5" s="504"/>
      <c r="H5" s="333"/>
    </row>
    <row r="6" spans="1:8" ht="17.25" customHeight="1">
      <c r="A6" s="510" t="s">
        <v>148</v>
      </c>
      <c r="B6" s="510"/>
      <c r="C6" s="34">
        <v>100000</v>
      </c>
      <c r="D6" s="510"/>
      <c r="E6" s="510" t="s">
        <v>53</v>
      </c>
      <c r="F6" s="510"/>
      <c r="G6" s="39">
        <v>2016</v>
      </c>
      <c r="H6" s="333"/>
    </row>
    <row r="7" spans="1:11" s="26" customFormat="1" ht="17.25" customHeight="1">
      <c r="A7" s="510" t="s">
        <v>60</v>
      </c>
      <c r="B7" s="510"/>
      <c r="C7" s="34">
        <v>0</v>
      </c>
      <c r="D7" s="510"/>
      <c r="E7" s="510" t="s">
        <v>149</v>
      </c>
      <c r="F7" s="510"/>
      <c r="G7" s="39">
        <v>450</v>
      </c>
      <c r="H7" s="333"/>
      <c r="I7" s="28"/>
      <c r="J7" s="190"/>
      <c r="K7" s="27"/>
    </row>
    <row r="8" spans="1:11" s="41" customFormat="1" ht="17.25" customHeight="1">
      <c r="A8" s="510" t="s">
        <v>150</v>
      </c>
      <c r="B8" s="510"/>
      <c r="C8" s="34">
        <v>0</v>
      </c>
      <c r="D8" s="510"/>
      <c r="E8" s="580" t="s">
        <v>48</v>
      </c>
      <c r="F8" s="580"/>
      <c r="G8" s="36" t="s">
        <v>151</v>
      </c>
      <c r="H8" s="333"/>
      <c r="I8" s="191"/>
      <c r="K8" s="389"/>
    </row>
    <row r="9" spans="1:12" ht="17.25" customHeight="1">
      <c r="A9" s="586" t="s">
        <v>152</v>
      </c>
      <c r="B9" s="586"/>
      <c r="C9" s="586"/>
      <c r="D9" s="586"/>
      <c r="E9" s="586"/>
      <c r="F9" s="586"/>
      <c r="G9" s="586"/>
      <c r="H9" s="333"/>
      <c r="I9" s="191"/>
      <c r="J9" s="41"/>
      <c r="K9" s="389"/>
      <c r="L9" s="41"/>
    </row>
    <row r="10" spans="1:12" ht="17.25" customHeight="1">
      <c r="A10" s="504" t="s">
        <v>56</v>
      </c>
      <c r="B10" s="504"/>
      <c r="C10" s="504"/>
      <c r="D10" s="587"/>
      <c r="E10" s="504" t="s">
        <v>57</v>
      </c>
      <c r="F10" s="504"/>
      <c r="G10" s="504"/>
      <c r="H10" s="333"/>
      <c r="I10" s="191"/>
      <c r="J10" s="41"/>
      <c r="K10" s="389"/>
      <c r="L10" s="41"/>
    </row>
    <row r="11" spans="1:12" ht="17.25" customHeight="1">
      <c r="A11" s="43" t="s">
        <v>153</v>
      </c>
      <c r="B11" s="45"/>
      <c r="C11" s="44">
        <f>C6*Database1!G7</f>
        <v>1680.9999999999998</v>
      </c>
      <c r="D11" s="587"/>
      <c r="E11" s="43" t="s">
        <v>99</v>
      </c>
      <c r="F11" s="45"/>
      <c r="G11" s="44">
        <f>Database1!G9</f>
        <v>4492</v>
      </c>
      <c r="H11" s="333"/>
      <c r="I11" s="191"/>
      <c r="J11" s="41"/>
      <c r="K11" s="389"/>
      <c r="L11" s="41"/>
    </row>
    <row r="12" spans="1:12" ht="17.25" customHeight="1">
      <c r="A12" s="43" t="s">
        <v>60</v>
      </c>
      <c r="B12" s="45"/>
      <c r="C12" s="44">
        <f>C7*0.04</f>
        <v>0</v>
      </c>
      <c r="D12" s="587"/>
      <c r="E12" s="43" t="s">
        <v>156</v>
      </c>
      <c r="F12" s="45"/>
      <c r="G12" s="44">
        <f>IF(C8&gt;0,60,0)</f>
        <v>0</v>
      </c>
      <c r="H12" s="333"/>
      <c r="I12" s="191"/>
      <c r="J12" s="41"/>
      <c r="K12" s="389"/>
      <c r="L12" s="41"/>
    </row>
    <row r="13" spans="1:12" ht="17.25" customHeight="1">
      <c r="A13" s="43" t="s">
        <v>156</v>
      </c>
      <c r="B13" s="45"/>
      <c r="C13" s="44">
        <f>IF(C8&gt;0,C8*0.04,0)</f>
        <v>0</v>
      </c>
      <c r="D13" s="587"/>
      <c r="E13" s="43"/>
      <c r="F13" s="45"/>
      <c r="G13" s="44"/>
      <c r="H13" s="333"/>
      <c r="I13" s="191"/>
      <c r="J13" s="41"/>
      <c r="K13" s="389"/>
      <c r="L13" s="41"/>
    </row>
    <row r="14" spans="1:12" ht="17.25" customHeight="1">
      <c r="A14" s="48" t="s">
        <v>65</v>
      </c>
      <c r="B14" s="45"/>
      <c r="C14" s="44">
        <f>SUM(C11:C13)</f>
        <v>1680.9999999999998</v>
      </c>
      <c r="D14" s="587"/>
      <c r="E14" s="48" t="s">
        <v>157</v>
      </c>
      <c r="F14" s="49"/>
      <c r="G14" s="44">
        <f>SUM(G11:G12)</f>
        <v>4492</v>
      </c>
      <c r="H14" s="333"/>
      <c r="I14" s="191"/>
      <c r="J14" s="41"/>
      <c r="K14" s="389"/>
      <c r="L14" s="41"/>
    </row>
    <row r="15" spans="1:12" ht="17.25" customHeight="1">
      <c r="A15" s="43" t="s">
        <v>158</v>
      </c>
      <c r="B15" s="36" t="s">
        <v>37</v>
      </c>
      <c r="C15" s="44">
        <f>IF(B15="Yes",(C11+C12+C13)*0.15,0)</f>
        <v>0</v>
      </c>
      <c r="D15" s="587"/>
      <c r="E15" s="43" t="s">
        <v>136</v>
      </c>
      <c r="F15" s="36" t="s">
        <v>62</v>
      </c>
      <c r="G15" s="44">
        <f>IF(F15="Yes",50*F16,0)</f>
        <v>50</v>
      </c>
      <c r="H15" s="333"/>
      <c r="I15" s="191"/>
      <c r="J15" s="41"/>
      <c r="K15" s="389"/>
      <c r="L15" s="41"/>
    </row>
    <row r="16" spans="1:12" s="191" customFormat="1" ht="17.25" customHeight="1">
      <c r="A16" s="43" t="s">
        <v>137</v>
      </c>
      <c r="B16" s="162" t="s">
        <v>37</v>
      </c>
      <c r="C16" s="44">
        <f>C6*A56/10</f>
        <v>0</v>
      </c>
      <c r="D16" s="587"/>
      <c r="E16" s="43" t="s">
        <v>168</v>
      </c>
      <c r="F16" s="36">
        <v>1</v>
      </c>
      <c r="G16" s="44"/>
      <c r="H16" s="333"/>
      <c r="J16" s="41"/>
      <c r="K16" s="389"/>
      <c r="L16" s="41"/>
    </row>
    <row r="17" spans="1:12" ht="17.25" customHeight="1">
      <c r="A17" s="43" t="s">
        <v>160</v>
      </c>
      <c r="B17" s="50">
        <v>0.2</v>
      </c>
      <c r="C17" s="44">
        <f>(C14)*B17</f>
        <v>336.2</v>
      </c>
      <c r="D17" s="587"/>
      <c r="E17" s="130" t="s">
        <v>135</v>
      </c>
      <c r="F17" s="36" t="s">
        <v>62</v>
      </c>
      <c r="G17" s="44">
        <f>IF(F17="Yes",320,0)</f>
        <v>320</v>
      </c>
      <c r="H17" s="333"/>
      <c r="I17" s="191"/>
      <c r="J17" s="41"/>
      <c r="K17" s="389"/>
      <c r="L17" s="41"/>
    </row>
    <row r="18" spans="1:12" ht="17.25" customHeight="1">
      <c r="A18" s="43" t="s">
        <v>170</v>
      </c>
      <c r="B18" s="36" t="s">
        <v>37</v>
      </c>
      <c r="C18" s="44">
        <f>IF(B18="Yes",C14*0.3,0)</f>
        <v>0</v>
      </c>
      <c r="D18" s="587"/>
      <c r="E18" s="48"/>
      <c r="F18" s="48"/>
      <c r="G18" s="48"/>
      <c r="H18" s="333"/>
      <c r="I18" s="191"/>
      <c r="J18" s="41"/>
      <c r="K18" s="389"/>
      <c r="L18" s="41"/>
    </row>
    <row r="19" spans="1:12" ht="17.25" customHeight="1">
      <c r="A19" s="43" t="s">
        <v>140</v>
      </c>
      <c r="B19" s="36" t="s">
        <v>37</v>
      </c>
      <c r="C19" s="44">
        <f>IF(B19="Yes",50,0)</f>
        <v>0</v>
      </c>
      <c r="D19" s="587"/>
      <c r="E19" s="130"/>
      <c r="F19" s="36"/>
      <c r="G19" s="44"/>
      <c r="H19" s="333"/>
      <c r="I19" s="191"/>
      <c r="J19" s="41"/>
      <c r="K19" s="389"/>
      <c r="L19" s="41"/>
    </row>
    <row r="20" spans="1:12" ht="17.25" customHeight="1">
      <c r="A20" s="555" t="s">
        <v>142</v>
      </c>
      <c r="B20" s="555"/>
      <c r="C20" s="58">
        <f>SUM(C14:C19)</f>
        <v>2017.1999999999998</v>
      </c>
      <c r="D20" s="587"/>
      <c r="E20" s="48" t="s">
        <v>164</v>
      </c>
      <c r="F20" s="49"/>
      <c r="G20" s="58">
        <f>SUM(G14,G15,G17)</f>
        <v>4862</v>
      </c>
      <c r="H20" s="333"/>
      <c r="I20" s="191"/>
      <c r="J20" s="41"/>
      <c r="K20" s="389"/>
      <c r="L20" s="41"/>
    </row>
    <row r="21" spans="1:12" ht="17.25" customHeight="1">
      <c r="A21" s="510" t="s">
        <v>165</v>
      </c>
      <c r="B21" s="510"/>
      <c r="C21" s="44"/>
      <c r="D21" s="587"/>
      <c r="E21" s="43" t="s">
        <v>118</v>
      </c>
      <c r="F21" s="36">
        <v>750000</v>
      </c>
      <c r="G21" s="44">
        <f>IF(F21=750000,0,150)</f>
        <v>0</v>
      </c>
      <c r="H21" s="333"/>
      <c r="I21" s="191"/>
      <c r="J21" s="41"/>
      <c r="K21" s="389"/>
      <c r="L21" s="41"/>
    </row>
    <row r="22" spans="1:12" ht="17.25" customHeight="1">
      <c r="A22" s="43" t="s">
        <v>117</v>
      </c>
      <c r="B22" s="36" t="s">
        <v>37</v>
      </c>
      <c r="C22" s="44">
        <f>IF(B22="Yes",MIN(C20*0.025,500),0)</f>
        <v>0</v>
      </c>
      <c r="D22" s="587"/>
      <c r="E22" s="43"/>
      <c r="F22" s="43"/>
      <c r="G22" s="43"/>
      <c r="H22" s="333"/>
      <c r="I22" s="191"/>
      <c r="J22" s="41"/>
      <c r="K22" s="389"/>
      <c r="L22" s="41"/>
    </row>
    <row r="23" spans="1:12" ht="17.25" customHeight="1">
      <c r="A23" s="43" t="s">
        <v>79</v>
      </c>
      <c r="B23" s="36" t="s">
        <v>37</v>
      </c>
      <c r="C23" s="44">
        <f>IF(B23="Yes",MIN(C20*0.05,200),0)</f>
        <v>0</v>
      </c>
      <c r="D23" s="587"/>
      <c r="E23" s="43"/>
      <c r="F23" s="45"/>
      <c r="G23" s="44"/>
      <c r="H23" s="333"/>
      <c r="I23" s="191"/>
      <c r="J23" s="41"/>
      <c r="K23" s="389"/>
      <c r="L23" s="41"/>
    </row>
    <row r="24" spans="1:12" s="191" customFormat="1" ht="17.25" customHeight="1">
      <c r="A24" s="43" t="s">
        <v>144</v>
      </c>
      <c r="B24" s="36" t="s">
        <v>37</v>
      </c>
      <c r="C24" s="44">
        <f>IF(B24="Yes",C20*(1/3),0)</f>
        <v>0</v>
      </c>
      <c r="D24" s="587"/>
      <c r="E24" s="43"/>
      <c r="F24" s="45"/>
      <c r="G24" s="44"/>
      <c r="H24" s="333"/>
      <c r="J24" s="41"/>
      <c r="K24" s="389"/>
      <c r="L24" s="41"/>
    </row>
    <row r="25" spans="1:12" ht="17.25" customHeight="1">
      <c r="A25" s="48" t="s">
        <v>166</v>
      </c>
      <c r="B25" s="45"/>
      <c r="C25" s="58">
        <f>C20-SUM(C22:C24)</f>
        <v>2017.1999999999998</v>
      </c>
      <c r="D25" s="587"/>
      <c r="E25" s="43"/>
      <c r="F25" s="45"/>
      <c r="G25" s="44"/>
      <c r="H25" s="333"/>
      <c r="L25" s="41"/>
    </row>
    <row r="26" spans="1:12" ht="17.25" customHeight="1">
      <c r="A26" s="43" t="s">
        <v>145</v>
      </c>
      <c r="B26" s="56">
        <v>0.35</v>
      </c>
      <c r="C26" s="44">
        <f>(C14+C15+C17-C27-C29)*B26</f>
        <v>347.1265</v>
      </c>
      <c r="D26" s="587"/>
      <c r="E26" s="48"/>
      <c r="F26" s="45"/>
      <c r="G26" s="44"/>
      <c r="H26" s="333"/>
      <c r="L26" s="41"/>
    </row>
    <row r="27" spans="1:12" s="155" customFormat="1" ht="17.25" customHeight="1">
      <c r="A27" s="43" t="s">
        <v>85</v>
      </c>
      <c r="B27" s="171">
        <v>0.6</v>
      </c>
      <c r="C27" s="44">
        <f>(C14+C15)*B27</f>
        <v>1008.5999999999998</v>
      </c>
      <c r="D27" s="587"/>
      <c r="E27" s="43"/>
      <c r="F27" s="45"/>
      <c r="G27" s="44"/>
      <c r="H27" s="333"/>
      <c r="I27" s="28"/>
      <c r="J27" s="191"/>
      <c r="K27" s="333"/>
      <c r="L27" s="41"/>
    </row>
    <row r="28" spans="1:13" s="155" customFormat="1" ht="14.25" customHeight="1">
      <c r="A28" s="126" t="s">
        <v>226</v>
      </c>
      <c r="B28" s="171">
        <v>0.2</v>
      </c>
      <c r="C28" s="47">
        <f>C17*B28</f>
        <v>67.24</v>
      </c>
      <c r="D28" s="587"/>
      <c r="E28" s="43"/>
      <c r="F28" s="177"/>
      <c r="G28" s="163"/>
      <c r="H28" s="333"/>
      <c r="K28" s="41"/>
      <c r="L28" s="41"/>
      <c r="M28" s="41"/>
    </row>
    <row r="29" spans="1:12" s="155" customFormat="1" ht="17.25" customHeight="1">
      <c r="A29" s="43" t="s">
        <v>225</v>
      </c>
      <c r="B29" s="50">
        <v>0.05</v>
      </c>
      <c r="C29" s="164">
        <f>C17*B29</f>
        <v>16.81</v>
      </c>
      <c r="D29" s="587"/>
      <c r="E29" s="43"/>
      <c r="F29" s="45"/>
      <c r="G29" s="44"/>
      <c r="H29" s="333"/>
      <c r="I29" s="28"/>
      <c r="J29" s="28"/>
      <c r="K29" s="319"/>
      <c r="L29" s="41"/>
    </row>
    <row r="30" spans="1:12" s="155" customFormat="1" ht="17.25" customHeight="1">
      <c r="A30" s="504" t="s">
        <v>86</v>
      </c>
      <c r="B30" s="504"/>
      <c r="C30" s="135">
        <f>C25-(C26+C27+C29)</f>
        <v>644.6635000000001</v>
      </c>
      <c r="D30" s="587"/>
      <c r="E30" s="504" t="s">
        <v>87</v>
      </c>
      <c r="F30" s="504"/>
      <c r="G30" s="58">
        <f>G20-G21+G27</f>
        <v>4862</v>
      </c>
      <c r="H30" s="333"/>
      <c r="K30" s="278"/>
      <c r="L30" s="41"/>
    </row>
    <row r="31" spans="1:12" s="168" customFormat="1" ht="17.25" customHeight="1">
      <c r="A31" s="137"/>
      <c r="B31" s="195"/>
      <c r="C31" s="137"/>
      <c r="D31" s="28"/>
      <c r="E31" s="196"/>
      <c r="F31" s="137"/>
      <c r="G31" s="138"/>
      <c r="H31" s="333"/>
      <c r="I31" s="155"/>
      <c r="J31" s="155"/>
      <c r="K31" s="278"/>
      <c r="L31" s="41"/>
    </row>
    <row r="32" spans="1:12" ht="17.25" customHeight="1">
      <c r="A32" s="583"/>
      <c r="B32" s="584" t="s">
        <v>90</v>
      </c>
      <c r="C32" s="584"/>
      <c r="D32" s="584"/>
      <c r="E32" s="392" t="s">
        <v>88</v>
      </c>
      <c r="F32" s="65" t="s">
        <v>89</v>
      </c>
      <c r="G32" s="66" t="s">
        <v>38</v>
      </c>
      <c r="H32" s="333"/>
      <c r="I32" s="155"/>
      <c r="J32" s="155"/>
      <c r="K32" s="278"/>
      <c r="L32" s="41"/>
    </row>
    <row r="33" spans="1:12" ht="17.25" customHeight="1">
      <c r="A33" s="583"/>
      <c r="B33" s="584"/>
      <c r="C33" s="584"/>
      <c r="D33" s="584"/>
      <c r="E33" s="68">
        <f>C30</f>
        <v>644.6635000000001</v>
      </c>
      <c r="F33" s="44">
        <f>G30</f>
        <v>4862</v>
      </c>
      <c r="G33" s="58">
        <f>E33+F33</f>
        <v>5506.663500000001</v>
      </c>
      <c r="H33" s="333"/>
      <c r="I33" s="450"/>
      <c r="J33" s="168"/>
      <c r="K33" s="451"/>
      <c r="L33" s="41"/>
    </row>
    <row r="34" spans="1:8" ht="15.75" customHeight="1">
      <c r="A34" s="583"/>
      <c r="B34" s="507" t="s">
        <v>146</v>
      </c>
      <c r="C34" s="507"/>
      <c r="D34" s="507"/>
      <c r="E34" s="184">
        <f>(E33+G17+G15)*0.18</f>
        <v>182.63943</v>
      </c>
      <c r="F34" s="184">
        <f>(G30-G15-G17)*0.12</f>
        <v>539.04</v>
      </c>
      <c r="G34" s="184">
        <f>SUM(E34:F34)</f>
        <v>721.6794299999999</v>
      </c>
      <c r="H34" s="333"/>
    </row>
    <row r="35" spans="1:8" ht="15.75" customHeight="1">
      <c r="A35" s="583"/>
      <c r="B35" s="585" t="s">
        <v>167</v>
      </c>
      <c r="C35" s="585"/>
      <c r="D35" s="585"/>
      <c r="E35" s="135">
        <f>SUM(E33:E34)</f>
        <v>827.3029300000001</v>
      </c>
      <c r="F35" s="135">
        <f>SUM(F33:F34)</f>
        <v>5401.04</v>
      </c>
      <c r="G35" s="135">
        <f>SUM(G33:G34)</f>
        <v>6228.342930000001</v>
      </c>
      <c r="H35" s="333"/>
    </row>
    <row r="36" spans="7:8" ht="15.75" customHeight="1">
      <c r="G36" s="202"/>
      <c r="H36" s="333"/>
    </row>
    <row r="37" spans="1:3" s="26" customFormat="1" ht="13.5">
      <c r="A37" s="532" t="s">
        <v>220</v>
      </c>
      <c r="B37" s="532"/>
      <c r="C37" s="27"/>
    </row>
    <row r="38" spans="1:3" s="26" customFormat="1" ht="13.5">
      <c r="A38" s="385" t="s">
        <v>215</v>
      </c>
      <c r="B38" s="385" t="s">
        <v>216</v>
      </c>
      <c r="C38" s="27"/>
    </row>
    <row r="39" spans="1:3" s="26" customFormat="1" ht="13.5">
      <c r="A39" s="385" t="s">
        <v>217</v>
      </c>
      <c r="B39" s="386">
        <v>0.1</v>
      </c>
      <c r="C39" s="27"/>
    </row>
    <row r="40" spans="1:3" s="26" customFormat="1" ht="13.5">
      <c r="A40" s="385" t="s">
        <v>218</v>
      </c>
      <c r="B40" s="386">
        <v>0.2</v>
      </c>
      <c r="C40" s="27"/>
    </row>
    <row r="41" spans="1:3" s="26" customFormat="1" ht="13.5">
      <c r="A41" s="385" t="s">
        <v>219</v>
      </c>
      <c r="B41" s="386">
        <v>0.3</v>
      </c>
      <c r="C41" s="27"/>
    </row>
    <row r="51" ht="15.75" customHeight="1" hidden="1"/>
    <row r="52" ht="15.75" customHeight="1" hidden="1"/>
    <row r="53" ht="15.75" customHeight="1" hidden="1"/>
    <row r="54" ht="15.75" customHeight="1" hidden="1"/>
    <row r="55" spans="1:2" ht="15.75" customHeight="1" hidden="1">
      <c r="A55" s="73" t="s">
        <v>92</v>
      </c>
      <c r="B55" s="73" t="s">
        <v>93</v>
      </c>
    </row>
    <row r="56" spans="1:2" ht="15.75" customHeight="1" hidden="1">
      <c r="A56" s="152" t="b">
        <f>IF(B16="Yes",IF(B56=0,4.5%,IF(B56=1,5.5%,IF(B56=2,7%,0))))</f>
        <v>0</v>
      </c>
      <c r="B56" s="74">
        <f ca="1">YEAR(TODAY())-(G6)</f>
        <v>6</v>
      </c>
    </row>
    <row r="57" ht="15.75" customHeight="1" hidden="1"/>
  </sheetData>
  <sheetProtection password="CEED" sheet="1"/>
  <mergeCells count="27">
    <mergeCell ref="A1:G1"/>
    <mergeCell ref="A2:G2"/>
    <mergeCell ref="J2:K3"/>
    <mergeCell ref="B3:G3"/>
    <mergeCell ref="B4:G4"/>
    <mergeCell ref="A5:G5"/>
    <mergeCell ref="A6:B6"/>
    <mergeCell ref="D6:D8"/>
    <mergeCell ref="E6:F6"/>
    <mergeCell ref="A7:B7"/>
    <mergeCell ref="E7:F7"/>
    <mergeCell ref="A8:B8"/>
    <mergeCell ref="E8:F8"/>
    <mergeCell ref="A9:G9"/>
    <mergeCell ref="A10:C10"/>
    <mergeCell ref="D10:D30"/>
    <mergeCell ref="E10:G10"/>
    <mergeCell ref="A20:B20"/>
    <mergeCell ref="A21:B21"/>
    <mergeCell ref="A30:B30"/>
    <mergeCell ref="E30:F30"/>
    <mergeCell ref="A37:B37"/>
    <mergeCell ref="A32:A35"/>
    <mergeCell ref="B32:D32"/>
    <mergeCell ref="B33:D33"/>
    <mergeCell ref="B34:D34"/>
    <mergeCell ref="B35:D35"/>
  </mergeCells>
  <dataValidations count="7">
    <dataValidation type="list" allowBlank="1" showErrorMessage="1" sqref="F21">
      <formula1>"750000,6000"</formula1>
      <formula2>0</formula2>
    </dataValidation>
    <dataValidation type="list" allowBlank="1" showErrorMessage="1" sqref="B13 B15:B16 F15 F17 B18:B19 F19 B22:B24">
      <formula1>"Yes,No"</formula1>
      <formula2>0</formula2>
    </dataValidation>
    <dataValidation type="list" allowBlank="1" showErrorMessage="1" sqref="B26">
      <formula1>"0%,20%,25%,35%,45%,50%,55%,65%"</formula1>
      <formula2>0</formula2>
    </dataValidation>
    <dataValidation type="list" allowBlank="1" showErrorMessage="1" sqref="G8">
      <formula1>"A,B,C"</formula1>
      <formula2>0</formula2>
    </dataValidation>
    <dataValidation type="list" allowBlank="1" showErrorMessage="1" sqref="B17">
      <formula1>"0%,10%,20%,30%,"</formula1>
    </dataValidation>
    <dataValidation type="list" allowBlank="1" showErrorMessage="1" sqref="B29">
      <formula1>"0%,5%"</formula1>
    </dataValidation>
    <dataValidation type="list" allowBlank="1" showErrorMessage="1" sqref="B28">
      <formula1>"0,20%"</formula1>
    </dataValidation>
  </dataValidations>
  <hyperlinks>
    <hyperlink ref="J2" location="HyperLink!A1" display="BACK TO HYPERLINK"/>
  </hyperlinks>
  <printOptions/>
  <pageMargins left="0.55" right="0.25972222222222224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3">
      <selection activeCell="A30" sqref="A30:B30"/>
    </sheetView>
  </sheetViews>
  <sheetFormatPr defaultColWidth="9.140625" defaultRowHeight="16.5" customHeight="1"/>
  <cols>
    <col min="1" max="1" width="31.28125" style="185" customWidth="1"/>
    <col min="2" max="2" width="9.140625" style="185" customWidth="1"/>
    <col min="3" max="3" width="9.57421875" style="185" customWidth="1"/>
    <col min="4" max="4" width="3.00390625" style="185" customWidth="1"/>
    <col min="5" max="5" width="22.28125" style="185" customWidth="1"/>
    <col min="6" max="6" width="10.8515625" style="185" customWidth="1"/>
    <col min="7" max="7" width="8.140625" style="185" customWidth="1"/>
    <col min="8" max="8" width="9.140625" style="185" customWidth="1"/>
    <col min="9" max="9" width="5.8515625" style="185" customWidth="1"/>
    <col min="10" max="10" width="6.140625" style="185" customWidth="1"/>
    <col min="11" max="11" width="2.7109375" style="185" customWidth="1"/>
    <col min="12" max="12" width="16.28125" style="185" customWidth="1"/>
    <col min="13" max="14" width="0" style="185" hidden="1" customWidth="1"/>
    <col min="15" max="16384" width="9.140625" style="185" customWidth="1"/>
  </cols>
  <sheetData>
    <row r="1" spans="1:14" s="155" customFormat="1" ht="16.5" customHeight="1">
      <c r="A1" s="593" t="s">
        <v>0</v>
      </c>
      <c r="B1" s="593"/>
      <c r="C1" s="593"/>
      <c r="D1" s="593"/>
      <c r="E1" s="593"/>
      <c r="F1" s="593"/>
      <c r="G1" s="593"/>
      <c r="M1" s="155" t="s">
        <v>145</v>
      </c>
      <c r="N1" s="155" t="s">
        <v>171</v>
      </c>
    </row>
    <row r="2" spans="1:14" ht="16.5" customHeight="1">
      <c r="A2" s="594" t="s">
        <v>239</v>
      </c>
      <c r="B2" s="594"/>
      <c r="C2" s="594" t="s">
        <v>93</v>
      </c>
      <c r="D2" s="594"/>
      <c r="E2" s="594"/>
      <c r="F2" s="594"/>
      <c r="G2" s="594"/>
      <c r="J2" s="595" t="s">
        <v>28</v>
      </c>
      <c r="M2" s="47">
        <f>C14+C15-C27+C17</f>
        <v>706.0199999999999</v>
      </c>
      <c r="N2" s="274">
        <f>C14+C15</f>
        <v>1176.6999999999998</v>
      </c>
    </row>
    <row r="3" spans="1:11" ht="16.5" customHeight="1">
      <c r="A3" s="156" t="s">
        <v>128</v>
      </c>
      <c r="B3" s="596"/>
      <c r="C3" s="596"/>
      <c r="D3" s="596"/>
      <c r="E3" s="596"/>
      <c r="F3" s="596"/>
      <c r="G3" s="596"/>
      <c r="J3" s="595"/>
      <c r="K3" s="155"/>
    </row>
    <row r="4" spans="1:7" ht="16.5" customHeight="1">
      <c r="A4" s="156" t="s">
        <v>45</v>
      </c>
      <c r="B4" s="596"/>
      <c r="C4" s="596"/>
      <c r="D4" s="596"/>
      <c r="E4" s="596"/>
      <c r="F4" s="596"/>
      <c r="G4" s="596"/>
    </row>
    <row r="5" spans="1:7" ht="16.5" customHeight="1">
      <c r="A5" s="555" t="s">
        <v>46</v>
      </c>
      <c r="B5" s="555"/>
      <c r="C5" s="555"/>
      <c r="D5" s="555"/>
      <c r="E5" s="555"/>
      <c r="F5" s="555"/>
      <c r="G5" s="555"/>
    </row>
    <row r="6" spans="1:7" ht="16.5" customHeight="1">
      <c r="A6" s="559" t="s">
        <v>148</v>
      </c>
      <c r="B6" s="559"/>
      <c r="C6" s="159">
        <v>100000</v>
      </c>
      <c r="D6" s="559"/>
      <c r="E6" s="559" t="s">
        <v>53</v>
      </c>
      <c r="F6" s="559"/>
      <c r="G6" s="161">
        <v>2016</v>
      </c>
    </row>
    <row r="7" spans="1:10" s="155" customFormat="1" ht="16.5" customHeight="1">
      <c r="A7" s="559" t="s">
        <v>60</v>
      </c>
      <c r="B7" s="559"/>
      <c r="C7" s="159">
        <v>0</v>
      </c>
      <c r="D7" s="559"/>
      <c r="E7" s="559" t="s">
        <v>149</v>
      </c>
      <c r="F7" s="559"/>
      <c r="G7" s="161">
        <v>1000</v>
      </c>
      <c r="H7" s="185"/>
      <c r="I7" s="185"/>
      <c r="J7" s="445"/>
    </row>
    <row r="8" spans="1:9" s="168" customFormat="1" ht="16.5" customHeight="1">
      <c r="A8" s="559" t="s">
        <v>150</v>
      </c>
      <c r="B8" s="559"/>
      <c r="C8" s="159">
        <v>0</v>
      </c>
      <c r="D8" s="559"/>
      <c r="E8" s="592" t="s">
        <v>48</v>
      </c>
      <c r="F8" s="592"/>
      <c r="G8" s="162" t="s">
        <v>151</v>
      </c>
      <c r="H8" s="204"/>
      <c r="I8" s="204"/>
    </row>
    <row r="9" spans="1:14" ht="16.5" customHeight="1">
      <c r="A9" s="586" t="s">
        <v>152</v>
      </c>
      <c r="B9" s="586"/>
      <c r="C9" s="586"/>
      <c r="D9" s="586"/>
      <c r="E9" s="586"/>
      <c r="F9" s="586"/>
      <c r="G9" s="586"/>
      <c r="I9" s="204"/>
      <c r="J9" s="168"/>
      <c r="K9" s="168"/>
      <c r="L9" s="168"/>
      <c r="M9" s="168"/>
      <c r="N9" s="168"/>
    </row>
    <row r="10" spans="1:14" ht="16.5" customHeight="1">
      <c r="A10" s="555" t="s">
        <v>56</v>
      </c>
      <c r="B10" s="555"/>
      <c r="C10" s="555"/>
      <c r="D10" s="446"/>
      <c r="E10" s="555" t="s">
        <v>57</v>
      </c>
      <c r="F10" s="555"/>
      <c r="G10" s="555"/>
      <c r="I10" s="204"/>
      <c r="J10" s="168"/>
      <c r="K10" s="168"/>
      <c r="L10" s="168"/>
      <c r="M10" s="168"/>
      <c r="N10" s="155"/>
    </row>
    <row r="11" spans="1:14" ht="16.5" customHeight="1">
      <c r="A11" s="160" t="s">
        <v>153</v>
      </c>
      <c r="B11" s="163"/>
      <c r="C11" s="164">
        <f>C6*'Database 2'!G7</f>
        <v>1176.6999999999998</v>
      </c>
      <c r="D11" s="446"/>
      <c r="E11" s="160" t="s">
        <v>99</v>
      </c>
      <c r="F11" s="163"/>
      <c r="G11" s="164">
        <f>'Database 2'!G9</f>
        <v>3922</v>
      </c>
      <c r="I11" s="204"/>
      <c r="J11" s="168"/>
      <c r="K11" s="168"/>
      <c r="L11" s="168"/>
      <c r="M11" s="168"/>
      <c r="N11" s="155"/>
    </row>
    <row r="12" spans="1:14" ht="16.5" customHeight="1">
      <c r="A12" s="160" t="s">
        <v>60</v>
      </c>
      <c r="B12" s="163"/>
      <c r="C12" s="164">
        <f>C7*0.04</f>
        <v>0</v>
      </c>
      <c r="D12" s="446"/>
      <c r="E12" s="160" t="s">
        <v>156</v>
      </c>
      <c r="F12" s="163"/>
      <c r="G12" s="164">
        <f>IF(C8&gt;0,60,0)</f>
        <v>0</v>
      </c>
      <c r="I12" s="204"/>
      <c r="J12" s="168"/>
      <c r="K12" s="168"/>
      <c r="L12" s="168"/>
      <c r="M12" s="168"/>
      <c r="N12" s="155"/>
    </row>
    <row r="13" spans="1:13" ht="16.5" customHeight="1">
      <c r="A13" s="160" t="s">
        <v>156</v>
      </c>
      <c r="B13" s="160"/>
      <c r="C13" s="164">
        <f>IF(C8&gt;0,C8*0.04,0)</f>
        <v>0</v>
      </c>
      <c r="D13" s="446"/>
      <c r="E13" s="160"/>
      <c r="F13" s="163"/>
      <c r="G13" s="164"/>
      <c r="I13" s="204"/>
      <c r="J13" s="168"/>
      <c r="K13" s="168"/>
      <c r="L13" s="168"/>
      <c r="M13" s="168"/>
    </row>
    <row r="14" spans="1:14" ht="16.5" customHeight="1">
      <c r="A14" s="555" t="s">
        <v>65</v>
      </c>
      <c r="B14" s="555"/>
      <c r="C14" s="164">
        <f>SUM(C11:C13)</f>
        <v>1176.6999999999998</v>
      </c>
      <c r="D14" s="446"/>
      <c r="E14" s="555" t="s">
        <v>157</v>
      </c>
      <c r="F14" s="555"/>
      <c r="G14" s="164">
        <f>SUM(G11:G12)</f>
        <v>3922</v>
      </c>
      <c r="I14" s="204"/>
      <c r="J14" s="168"/>
      <c r="K14" s="168"/>
      <c r="L14" s="168"/>
      <c r="M14" s="168"/>
      <c r="N14" s="155"/>
    </row>
    <row r="15" spans="1:14" ht="16.5" customHeight="1">
      <c r="A15" s="160" t="s">
        <v>158</v>
      </c>
      <c r="B15" s="162" t="s">
        <v>37</v>
      </c>
      <c r="C15" s="164">
        <f>IF(B15="Yes",(C11+C12+C13)*0.15,0)</f>
        <v>0</v>
      </c>
      <c r="D15" s="446"/>
      <c r="E15" s="160" t="s">
        <v>136</v>
      </c>
      <c r="F15" s="162" t="s">
        <v>62</v>
      </c>
      <c r="G15" s="164">
        <f>IF(F15="Yes",50*F16,0)</f>
        <v>50</v>
      </c>
      <c r="I15" s="204"/>
      <c r="J15" s="168"/>
      <c r="K15" s="168"/>
      <c r="L15" s="168"/>
      <c r="M15" s="168"/>
      <c r="N15" s="155"/>
    </row>
    <row r="16" spans="1:15" ht="16.5" customHeight="1">
      <c r="A16" s="160" t="s">
        <v>137</v>
      </c>
      <c r="B16" s="162" t="s">
        <v>37</v>
      </c>
      <c r="C16" s="164">
        <f>C6*A56/10</f>
        <v>0</v>
      </c>
      <c r="D16" s="446"/>
      <c r="E16" s="160" t="s">
        <v>168</v>
      </c>
      <c r="F16" s="162">
        <v>1</v>
      </c>
      <c r="G16" s="164"/>
      <c r="I16" s="204"/>
      <c r="J16" s="168"/>
      <c r="K16" s="168"/>
      <c r="L16" s="168"/>
      <c r="M16" s="168"/>
      <c r="O16" s="204"/>
    </row>
    <row r="17" spans="1:13" ht="16.5" customHeight="1">
      <c r="A17" s="43" t="s">
        <v>160</v>
      </c>
      <c r="B17" s="50">
        <v>0.1</v>
      </c>
      <c r="C17" s="44">
        <f>(C14)*B17</f>
        <v>117.66999999999999</v>
      </c>
      <c r="D17" s="446"/>
      <c r="E17" s="172" t="s">
        <v>135</v>
      </c>
      <c r="F17" s="162" t="s">
        <v>62</v>
      </c>
      <c r="G17" s="164">
        <f>IF(F17="Yes",320,0)</f>
        <v>320</v>
      </c>
      <c r="I17" s="204"/>
      <c r="J17" s="168"/>
      <c r="K17" s="168"/>
      <c r="L17" s="168"/>
      <c r="M17" s="168"/>
    </row>
    <row r="18" spans="1:13" ht="16.5" customHeight="1">
      <c r="A18" s="160" t="s">
        <v>170</v>
      </c>
      <c r="B18" s="162" t="s">
        <v>37</v>
      </c>
      <c r="C18" s="164">
        <f>IF(B18="Yes",C14*0.3,0)</f>
        <v>0</v>
      </c>
      <c r="D18" s="446"/>
      <c r="E18" s="172"/>
      <c r="F18" s="162"/>
      <c r="G18" s="164"/>
      <c r="I18" s="204"/>
      <c r="J18" s="168"/>
      <c r="K18" s="168"/>
      <c r="L18" s="168"/>
      <c r="M18" s="168"/>
    </row>
    <row r="19" spans="1:14" ht="16.5" customHeight="1">
      <c r="A19" s="160" t="s">
        <v>140</v>
      </c>
      <c r="B19" s="162" t="s">
        <v>37</v>
      </c>
      <c r="C19" s="164">
        <f>IF(B19="Yes",50,0)</f>
        <v>0</v>
      </c>
      <c r="D19" s="446"/>
      <c r="E19" s="172"/>
      <c r="F19" s="162"/>
      <c r="G19" s="164"/>
      <c r="I19" s="204"/>
      <c r="J19" s="168"/>
      <c r="K19" s="168"/>
      <c r="L19" s="168"/>
      <c r="M19" s="168"/>
      <c r="N19" s="168"/>
    </row>
    <row r="20" spans="1:13" ht="16.5" customHeight="1">
      <c r="A20" s="555" t="s">
        <v>142</v>
      </c>
      <c r="B20" s="555"/>
      <c r="C20" s="164">
        <f>SUM(C14:C19)</f>
        <v>1294.37</v>
      </c>
      <c r="D20" s="446"/>
      <c r="E20" s="555" t="s">
        <v>164</v>
      </c>
      <c r="F20" s="555"/>
      <c r="G20" s="164">
        <f>SUM(G14,G15,G18)</f>
        <v>3972</v>
      </c>
      <c r="I20" s="204"/>
      <c r="J20" s="168"/>
      <c r="K20" s="168"/>
      <c r="L20" s="168"/>
      <c r="M20" s="168"/>
    </row>
    <row r="21" spans="1:14" ht="16.5" customHeight="1">
      <c r="A21" s="559" t="s">
        <v>165</v>
      </c>
      <c r="B21" s="559"/>
      <c r="C21" s="164"/>
      <c r="D21" s="446"/>
      <c r="E21" s="160" t="s">
        <v>118</v>
      </c>
      <c r="F21" s="162">
        <v>750000</v>
      </c>
      <c r="G21" s="164">
        <f>IF(F21=750000,0,150)</f>
        <v>0</v>
      </c>
      <c r="I21" s="204"/>
      <c r="J21" s="168"/>
      <c r="K21" s="168"/>
      <c r="L21" s="168"/>
      <c r="M21" s="168"/>
      <c r="N21" s="204"/>
    </row>
    <row r="22" spans="1:13" ht="16.5" customHeight="1">
      <c r="A22" s="160" t="s">
        <v>117</v>
      </c>
      <c r="B22" s="162" t="s">
        <v>37</v>
      </c>
      <c r="C22" s="164">
        <f>IF(B22="Yes",MIN(C20*0.025,500),0)</f>
        <v>0</v>
      </c>
      <c r="D22" s="446"/>
      <c r="E22" s="160"/>
      <c r="F22" s="160"/>
      <c r="G22" s="160"/>
      <c r="I22" s="204"/>
      <c r="J22" s="168"/>
      <c r="K22" s="168"/>
      <c r="L22" s="168"/>
      <c r="M22" s="168"/>
    </row>
    <row r="23" spans="1:13" ht="16.5" customHeight="1">
      <c r="A23" s="160" t="s">
        <v>79</v>
      </c>
      <c r="B23" s="162" t="s">
        <v>37</v>
      </c>
      <c r="C23" s="164">
        <f>IF(B23="Yes",MIN(C20*0.05,200),0)</f>
        <v>0</v>
      </c>
      <c r="D23" s="446"/>
      <c r="E23" s="160"/>
      <c r="F23" s="163"/>
      <c r="G23" s="164"/>
      <c r="I23" s="204"/>
      <c r="J23" s="168"/>
      <c r="K23" s="168"/>
      <c r="L23" s="168"/>
      <c r="M23" s="168"/>
    </row>
    <row r="24" spans="1:7" s="204" customFormat="1" ht="16.5" customHeight="1">
      <c r="A24" s="160" t="s">
        <v>144</v>
      </c>
      <c r="B24" s="162" t="s">
        <v>37</v>
      </c>
      <c r="C24" s="164">
        <f>IF(B24="Yes",C20*(1/3),0)</f>
        <v>0</v>
      </c>
      <c r="D24" s="446"/>
      <c r="E24" s="160"/>
      <c r="F24" s="163"/>
      <c r="G24" s="164"/>
    </row>
    <row r="25" spans="1:7" ht="16.5" customHeight="1">
      <c r="A25" s="555" t="s">
        <v>166</v>
      </c>
      <c r="B25" s="555"/>
      <c r="C25" s="164">
        <f>C20-SUM(C22:C24)</f>
        <v>1294.37</v>
      </c>
      <c r="D25" s="446"/>
      <c r="E25" s="160"/>
      <c r="F25" s="163"/>
      <c r="G25" s="164"/>
    </row>
    <row r="26" spans="1:7" ht="16.5" customHeight="1">
      <c r="A26" s="160" t="s">
        <v>145</v>
      </c>
      <c r="B26" s="178">
        <v>0.2</v>
      </c>
      <c r="C26" s="44">
        <f>(C14+C15+C17-C27-C29)*B26</f>
        <v>140.0273</v>
      </c>
      <c r="D26" s="446"/>
      <c r="E26" s="177"/>
      <c r="F26" s="163"/>
      <c r="G26" s="164"/>
    </row>
    <row r="27" spans="1:7" ht="16.5" customHeight="1">
      <c r="A27" s="160" t="s">
        <v>85</v>
      </c>
      <c r="B27" s="171">
        <v>0.5</v>
      </c>
      <c r="C27" s="44">
        <f>(C14+C15)*B27</f>
        <v>588.3499999999999</v>
      </c>
      <c r="D27" s="446"/>
      <c r="E27" s="177"/>
      <c r="F27" s="163"/>
      <c r="G27" s="164"/>
    </row>
    <row r="28" spans="1:13" s="155" customFormat="1" ht="14.25" customHeight="1">
      <c r="A28" s="126" t="s">
        <v>226</v>
      </c>
      <c r="B28" s="171">
        <v>0.2</v>
      </c>
      <c r="C28" s="47">
        <f>C17*B28</f>
        <v>23.534</v>
      </c>
      <c r="D28" s="446"/>
      <c r="E28" s="43"/>
      <c r="F28" s="177"/>
      <c r="G28" s="163"/>
      <c r="H28" s="333"/>
      <c r="K28" s="41"/>
      <c r="L28" s="41"/>
      <c r="M28" s="41"/>
    </row>
    <row r="29" spans="1:7" ht="16.5" customHeight="1">
      <c r="A29" s="43" t="s">
        <v>225</v>
      </c>
      <c r="B29" s="50">
        <v>0.05</v>
      </c>
      <c r="C29" s="164">
        <f>C17*B29</f>
        <v>5.8835</v>
      </c>
      <c r="D29" s="446"/>
      <c r="E29" s="177"/>
      <c r="F29" s="163"/>
      <c r="G29" s="164"/>
    </row>
    <row r="30" spans="1:7" ht="16.5" customHeight="1">
      <c r="A30" s="555" t="s">
        <v>86</v>
      </c>
      <c r="B30" s="555"/>
      <c r="C30" s="179">
        <f>C25-C26-C27-C29</f>
        <v>560.1092</v>
      </c>
      <c r="D30" s="446"/>
      <c r="E30" s="555" t="s">
        <v>87</v>
      </c>
      <c r="F30" s="555"/>
      <c r="G30" s="170">
        <f>G20-G21+G27</f>
        <v>3972</v>
      </c>
    </row>
    <row r="31" spans="1:7" s="204" customFormat="1" ht="16.5" customHeight="1">
      <c r="A31" s="180"/>
      <c r="B31" s="181"/>
      <c r="C31" s="181"/>
      <c r="D31" s="181"/>
      <c r="E31" s="182"/>
      <c r="F31" s="180"/>
      <c r="G31" s="183"/>
    </row>
    <row r="32" spans="1:7" ht="16.5" customHeight="1">
      <c r="A32" s="583"/>
      <c r="B32" s="555" t="s">
        <v>90</v>
      </c>
      <c r="C32" s="555"/>
      <c r="D32" s="555"/>
      <c r="E32" s="447" t="s">
        <v>88</v>
      </c>
      <c r="F32" s="448" t="s">
        <v>89</v>
      </c>
      <c r="G32" s="449" t="s">
        <v>38</v>
      </c>
    </row>
    <row r="33" spans="1:7" ht="16.5" customHeight="1">
      <c r="A33" s="583"/>
      <c r="B33" s="555"/>
      <c r="C33" s="555"/>
      <c r="D33" s="555"/>
      <c r="E33" s="277">
        <f>C30</f>
        <v>560.1092</v>
      </c>
      <c r="F33" s="164">
        <f>G30</f>
        <v>3972</v>
      </c>
      <c r="G33" s="170">
        <f>E33+F33</f>
        <v>4532.1092</v>
      </c>
    </row>
    <row r="34" spans="1:7" ht="16.5" customHeight="1">
      <c r="A34" s="583"/>
      <c r="B34" s="507" t="s">
        <v>146</v>
      </c>
      <c r="C34" s="507"/>
      <c r="D34" s="507"/>
      <c r="E34" s="184">
        <f>(E33+G17+G15)*0.18</f>
        <v>167.419656</v>
      </c>
      <c r="F34" s="184">
        <f>(G30-G15-G17)*0.12</f>
        <v>432.24</v>
      </c>
      <c r="G34" s="184">
        <f>SUM(E34:F34)</f>
        <v>599.659656</v>
      </c>
    </row>
    <row r="35" spans="1:7" ht="16.5" customHeight="1">
      <c r="A35" s="583"/>
      <c r="B35" s="591" t="s">
        <v>167</v>
      </c>
      <c r="C35" s="591"/>
      <c r="D35" s="591"/>
      <c r="E35" s="179">
        <f>SUM(E33:E34)</f>
        <v>727.528856</v>
      </c>
      <c r="F35" s="179">
        <f>SUM(F33:F34)</f>
        <v>4404.24</v>
      </c>
      <c r="G35" s="170">
        <f>SUM(G33:G34)</f>
        <v>5131.768856</v>
      </c>
    </row>
    <row r="36" ht="16.5" customHeight="1">
      <c r="G36" s="279"/>
    </row>
    <row r="37" spans="1:3" s="26" customFormat="1" ht="13.5">
      <c r="A37" s="532" t="s">
        <v>220</v>
      </c>
      <c r="B37" s="532"/>
      <c r="C37" s="27"/>
    </row>
    <row r="38" spans="1:3" s="26" customFormat="1" ht="13.5">
      <c r="A38" s="385" t="s">
        <v>215</v>
      </c>
      <c r="B38" s="385" t="s">
        <v>216</v>
      </c>
      <c r="C38" s="27"/>
    </row>
    <row r="39" spans="1:3" s="26" customFormat="1" ht="13.5">
      <c r="A39" s="385" t="s">
        <v>217</v>
      </c>
      <c r="B39" s="386">
        <v>0.1</v>
      </c>
      <c r="C39" s="27"/>
    </row>
    <row r="40" spans="1:3" s="26" customFormat="1" ht="13.5">
      <c r="A40" s="385" t="s">
        <v>218</v>
      </c>
      <c r="B40" s="386">
        <v>0.2</v>
      </c>
      <c r="C40" s="27"/>
    </row>
    <row r="41" spans="1:3" s="26" customFormat="1" ht="13.5">
      <c r="A41" s="385" t="s">
        <v>219</v>
      </c>
      <c r="B41" s="386">
        <v>0.3</v>
      </c>
      <c r="C41" s="27"/>
    </row>
    <row r="54" ht="16.5" customHeight="1" hidden="1"/>
    <row r="55" spans="1:2" ht="16.5" customHeight="1" hidden="1">
      <c r="A55" s="205" t="s">
        <v>92</v>
      </c>
      <c r="B55" s="205" t="s">
        <v>93</v>
      </c>
    </row>
    <row r="56" spans="1:2" ht="16.5" customHeight="1" hidden="1">
      <c r="A56" s="206" t="b">
        <f>IF(B16="Yes",IF(B56=0,4.5%,IF(B56=1,5.5%,IF(B56=2,7%,0))))</f>
        <v>0</v>
      </c>
      <c r="B56" s="207">
        <f ca="1">YEAR(TODAY())-(G6)</f>
        <v>6</v>
      </c>
    </row>
    <row r="57" ht="16.5" customHeight="1" hidden="1"/>
  </sheetData>
  <sheetProtection password="CEED" sheet="1"/>
  <mergeCells count="30">
    <mergeCell ref="A1:G1"/>
    <mergeCell ref="A2:G2"/>
    <mergeCell ref="J2:J3"/>
    <mergeCell ref="B3:G3"/>
    <mergeCell ref="B4:G4"/>
    <mergeCell ref="A5:G5"/>
    <mergeCell ref="A6:B6"/>
    <mergeCell ref="D6:D8"/>
    <mergeCell ref="E6:F6"/>
    <mergeCell ref="A7:B7"/>
    <mergeCell ref="E7:F7"/>
    <mergeCell ref="A8:B8"/>
    <mergeCell ref="E8:F8"/>
    <mergeCell ref="A9:G9"/>
    <mergeCell ref="A10:C10"/>
    <mergeCell ref="E10:G10"/>
    <mergeCell ref="A14:B14"/>
    <mergeCell ref="E14:F14"/>
    <mergeCell ref="A20:B20"/>
    <mergeCell ref="E20:F20"/>
    <mergeCell ref="A37:B37"/>
    <mergeCell ref="A21:B21"/>
    <mergeCell ref="A25:B25"/>
    <mergeCell ref="A30:B30"/>
    <mergeCell ref="E30:F30"/>
    <mergeCell ref="A32:A35"/>
    <mergeCell ref="B32:D32"/>
    <mergeCell ref="B33:D33"/>
    <mergeCell ref="B34:D34"/>
    <mergeCell ref="B35:D35"/>
  </mergeCells>
  <dataValidations count="7">
    <dataValidation type="list" allowBlank="1" showErrorMessage="1" sqref="F21">
      <formula1>"750000,6000"</formula1>
      <formula2>0</formula2>
    </dataValidation>
    <dataValidation type="list" allowBlank="1" showErrorMessage="1" sqref="B26">
      <formula1>"0%,20%,25%,35%,45%,50%,55%,65%"</formula1>
      <formula2>0</formula2>
    </dataValidation>
    <dataValidation type="list" allowBlank="1" showErrorMessage="1" sqref="B15:B16 F15 B18:B19 F17:F19 B22:B24">
      <formula1>"Yes,No"</formula1>
      <formula2>0</formula2>
    </dataValidation>
    <dataValidation type="list" allowBlank="1" showErrorMessage="1" sqref="G8">
      <formula1>"A,B,C"</formula1>
      <formula2>0</formula2>
    </dataValidation>
    <dataValidation type="list" allowBlank="1" showErrorMessage="1" sqref="B17">
      <formula1>"0%,10%,20%,30%,"</formula1>
    </dataValidation>
    <dataValidation type="list" allowBlank="1" showErrorMessage="1" sqref="B29">
      <formula1>"0%,5%"</formula1>
    </dataValidation>
    <dataValidation type="list" allowBlank="1" showErrorMessage="1" sqref="B28">
      <formula1>"0,20%"</formula1>
    </dataValidation>
  </dataValidations>
  <hyperlinks>
    <hyperlink ref="J2" location="HyperLink!A1" display="BACK"/>
  </hyperlinks>
  <printOptions/>
  <pageMargins left="0.4" right="0.2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7"/>
  <sheetViews>
    <sheetView zoomScale="130" zoomScaleNormal="130" zoomScalePageLayoutView="0" workbookViewId="0" topLeftCell="A1">
      <selection activeCell="A29" sqref="A29"/>
    </sheetView>
  </sheetViews>
  <sheetFormatPr defaultColWidth="9.140625" defaultRowHeight="12.75"/>
  <cols>
    <col min="1" max="1" width="12.421875" style="208" customWidth="1"/>
    <col min="2" max="16384" width="9.140625" style="209" customWidth="1"/>
  </cols>
  <sheetData>
    <row r="1" spans="1:11" ht="12.75">
      <c r="A1" s="210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2.75">
      <c r="A2" s="210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8">
      <c r="A3" s="601" t="s">
        <v>230</v>
      </c>
      <c r="B3" s="601"/>
      <c r="C3" s="601"/>
      <c r="D3" s="601"/>
      <c r="E3" s="601"/>
      <c r="F3" s="601"/>
      <c r="G3" s="601"/>
      <c r="H3" s="107"/>
      <c r="I3" s="107"/>
      <c r="J3" s="107"/>
      <c r="K3" s="107"/>
    </row>
    <row r="4" spans="1:11" ht="12.75">
      <c r="A4" s="472" t="s">
        <v>101</v>
      </c>
      <c r="B4" s="602" t="s">
        <v>102</v>
      </c>
      <c r="C4" s="602"/>
      <c r="D4" s="602"/>
      <c r="E4" s="602"/>
      <c r="F4" s="602"/>
      <c r="G4" s="602"/>
      <c r="H4" s="107"/>
      <c r="I4" s="107"/>
      <c r="J4" s="107"/>
      <c r="K4" s="107"/>
    </row>
    <row r="5" spans="1:11" ht="12.75">
      <c r="A5" s="473"/>
      <c r="B5" s="597">
        <v>1000</v>
      </c>
      <c r="C5" s="597"/>
      <c r="D5" s="597">
        <v>1500</v>
      </c>
      <c r="E5" s="597"/>
      <c r="F5" s="598">
        <v>9999</v>
      </c>
      <c r="G5" s="598"/>
      <c r="H5" s="107"/>
      <c r="I5" s="107"/>
      <c r="J5" s="107"/>
      <c r="K5" s="107"/>
    </row>
    <row r="6" spans="1:11" ht="12.75">
      <c r="A6" s="212"/>
      <c r="B6" s="112" t="s">
        <v>103</v>
      </c>
      <c r="C6" s="112" t="s">
        <v>49</v>
      </c>
      <c r="D6" s="112" t="s">
        <v>103</v>
      </c>
      <c r="E6" s="112" t="s">
        <v>49</v>
      </c>
      <c r="F6" s="112" t="s">
        <v>103</v>
      </c>
      <c r="G6" s="213" t="s">
        <v>49</v>
      </c>
      <c r="H6" s="107"/>
      <c r="I6" s="107"/>
      <c r="J6" s="107"/>
      <c r="K6" s="107"/>
    </row>
    <row r="7" spans="1:11" ht="12.75">
      <c r="A7" s="212">
        <v>0</v>
      </c>
      <c r="B7" s="214">
        <v>3.284</v>
      </c>
      <c r="C7" s="214">
        <v>3.191</v>
      </c>
      <c r="D7" s="214">
        <v>3.448</v>
      </c>
      <c r="E7" s="214">
        <v>3.351</v>
      </c>
      <c r="F7" s="214">
        <v>3.612</v>
      </c>
      <c r="G7" s="215">
        <v>3.51</v>
      </c>
      <c r="H7" s="107"/>
      <c r="I7" s="107"/>
      <c r="J7" s="107"/>
      <c r="K7" s="107"/>
    </row>
    <row r="8" spans="1:11" ht="12.75">
      <c r="A8" s="212">
        <v>6</v>
      </c>
      <c r="B8" s="214">
        <v>3.366</v>
      </c>
      <c r="C8" s="214">
        <v>3.271</v>
      </c>
      <c r="D8" s="214">
        <v>3.534</v>
      </c>
      <c r="E8" s="214">
        <v>3.435</v>
      </c>
      <c r="F8" s="214">
        <v>3.703</v>
      </c>
      <c r="G8" s="215">
        <v>3.598</v>
      </c>
      <c r="H8" s="107"/>
      <c r="I8" s="107"/>
      <c r="J8" s="107"/>
      <c r="K8" s="107"/>
    </row>
    <row r="9" spans="1:11" ht="12.75">
      <c r="A9" s="212">
        <v>11</v>
      </c>
      <c r="B9" s="214">
        <v>3.448</v>
      </c>
      <c r="C9" s="214">
        <v>3.351</v>
      </c>
      <c r="D9" s="214">
        <v>3.62</v>
      </c>
      <c r="E9" s="214">
        <v>3.519</v>
      </c>
      <c r="F9" s="214">
        <v>3.793</v>
      </c>
      <c r="G9" s="215">
        <v>3.686</v>
      </c>
      <c r="H9" s="107"/>
      <c r="I9" s="107"/>
      <c r="J9" s="107"/>
      <c r="K9" s="107"/>
    </row>
    <row r="10" spans="1:11" ht="12.75">
      <c r="A10" s="212"/>
      <c r="B10" s="603" t="s">
        <v>104</v>
      </c>
      <c r="C10" s="603"/>
      <c r="D10" s="603"/>
      <c r="E10" s="603"/>
      <c r="F10" s="603"/>
      <c r="G10" s="603"/>
      <c r="H10" s="107"/>
      <c r="I10" s="107"/>
      <c r="J10" s="107"/>
      <c r="K10" s="107"/>
    </row>
    <row r="11" spans="1:11" ht="12.75">
      <c r="A11" s="212"/>
      <c r="B11" s="597">
        <v>1000</v>
      </c>
      <c r="C11" s="597"/>
      <c r="D11" s="597">
        <v>1500</v>
      </c>
      <c r="E11" s="597"/>
      <c r="F11" s="598">
        <v>9999</v>
      </c>
      <c r="G11" s="598"/>
      <c r="H11" s="107"/>
      <c r="I11" s="107"/>
      <c r="J11" s="107"/>
      <c r="K11" s="107"/>
    </row>
    <row r="12" spans="1:11" ht="12.75">
      <c r="A12" s="212"/>
      <c r="B12" s="470" t="s">
        <v>103</v>
      </c>
      <c r="C12" s="470" t="s">
        <v>49</v>
      </c>
      <c r="D12" s="470" t="s">
        <v>103</v>
      </c>
      <c r="E12" s="470" t="s">
        <v>49</v>
      </c>
      <c r="F12" s="470" t="s">
        <v>103</v>
      </c>
      <c r="G12" s="471" t="s">
        <v>49</v>
      </c>
      <c r="H12" s="107"/>
      <c r="I12" s="107"/>
      <c r="J12" s="107"/>
      <c r="K12" s="107"/>
    </row>
    <row r="13" spans="1:11" ht="12.75">
      <c r="A13" s="212">
        <v>0</v>
      </c>
      <c r="B13" s="469">
        <v>6040</v>
      </c>
      <c r="C13" s="469">
        <v>6040</v>
      </c>
      <c r="D13" s="469">
        <v>7940</v>
      </c>
      <c r="E13" s="469">
        <v>7940</v>
      </c>
      <c r="F13" s="469">
        <v>10523</v>
      </c>
      <c r="G13" s="469">
        <v>10523</v>
      </c>
      <c r="H13" s="107"/>
      <c r="I13" s="107"/>
      <c r="J13" s="107"/>
      <c r="K13" s="107"/>
    </row>
    <row r="14" spans="1:11" ht="12.75">
      <c r="A14" s="212">
        <v>6</v>
      </c>
      <c r="B14" s="469">
        <v>6040</v>
      </c>
      <c r="C14" s="469">
        <v>6040</v>
      </c>
      <c r="D14" s="469">
        <v>7940</v>
      </c>
      <c r="E14" s="469">
        <v>7940</v>
      </c>
      <c r="F14" s="469">
        <v>10523</v>
      </c>
      <c r="G14" s="469">
        <v>10523</v>
      </c>
      <c r="H14" s="107"/>
      <c r="I14" s="107"/>
      <c r="J14" s="107"/>
      <c r="K14" s="107"/>
    </row>
    <row r="15" spans="1:11" ht="12.75">
      <c r="A15" s="216">
        <v>11</v>
      </c>
      <c r="B15" s="469">
        <v>6040</v>
      </c>
      <c r="C15" s="469">
        <v>6040</v>
      </c>
      <c r="D15" s="469">
        <v>7940</v>
      </c>
      <c r="E15" s="469">
        <v>7940</v>
      </c>
      <c r="F15" s="469">
        <v>10523</v>
      </c>
      <c r="G15" s="469">
        <v>10523</v>
      </c>
      <c r="H15" s="107"/>
      <c r="I15" s="107"/>
      <c r="J15" s="107"/>
      <c r="K15" s="107"/>
    </row>
    <row r="16" spans="1:11" ht="12.75">
      <c r="A16" s="210"/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2.75">
      <c r="A17" s="211" t="s">
        <v>105</v>
      </c>
      <c r="B17" s="599" t="s">
        <v>102</v>
      </c>
      <c r="C17" s="599"/>
      <c r="D17" s="600" t="s">
        <v>104</v>
      </c>
      <c r="E17" s="600"/>
      <c r="F17" s="107"/>
      <c r="G17" s="107"/>
      <c r="H17" s="107"/>
      <c r="I17" s="107"/>
      <c r="J17" s="107"/>
      <c r="K17" s="107"/>
    </row>
    <row r="18" spans="1:11" ht="12.75">
      <c r="A18" s="212"/>
      <c r="B18" s="112" t="s">
        <v>92</v>
      </c>
      <c r="C18" s="112" t="s">
        <v>106</v>
      </c>
      <c r="D18" s="112" t="s">
        <v>92</v>
      </c>
      <c r="E18" s="213" t="s">
        <v>106</v>
      </c>
      <c r="F18" s="107"/>
      <c r="G18" s="107"/>
      <c r="H18" s="107"/>
      <c r="I18" s="107" t="s">
        <v>110</v>
      </c>
      <c r="J18" s="107"/>
      <c r="K18" s="107"/>
    </row>
    <row r="19" spans="1:11" ht="12.75">
      <c r="A19" s="212" t="s">
        <v>107</v>
      </c>
      <c r="B19" s="217">
        <v>0.04</v>
      </c>
      <c r="C19" s="112"/>
      <c r="D19" s="112"/>
      <c r="E19" s="213"/>
      <c r="F19" s="107"/>
      <c r="G19" s="107"/>
      <c r="H19" s="107"/>
      <c r="I19" s="107">
        <v>0</v>
      </c>
      <c r="J19" s="107">
        <v>0</v>
      </c>
      <c r="K19" s="107"/>
    </row>
    <row r="20" spans="1:11" ht="12.75">
      <c r="A20" s="212" t="s">
        <v>108</v>
      </c>
      <c r="B20" s="217">
        <v>0.04</v>
      </c>
      <c r="C20" s="112"/>
      <c r="D20" s="112"/>
      <c r="E20" s="213">
        <v>60</v>
      </c>
      <c r="F20" s="107"/>
      <c r="G20" s="107"/>
      <c r="H20" s="107"/>
      <c r="I20" s="107">
        <v>2500</v>
      </c>
      <c r="J20" s="107">
        <f>MIN(750,20%*'PCCV 4W Up To 6 P'!$C$15)</f>
        <v>750</v>
      </c>
      <c r="K20" s="107"/>
    </row>
    <row r="21" spans="1:11" ht="12.75">
      <c r="A21" s="212" t="s">
        <v>109</v>
      </c>
      <c r="B21" s="218">
        <v>0.005</v>
      </c>
      <c r="C21" s="112">
        <v>50</v>
      </c>
      <c r="D21" s="112"/>
      <c r="E21" s="213"/>
      <c r="F21" s="107"/>
      <c r="G21" s="107"/>
      <c r="H21" s="107"/>
      <c r="I21" s="107">
        <v>5000</v>
      </c>
      <c r="J21" s="107">
        <f>MIN(1500,25%*'PCCV 4W Up To 6 P'!$C$15)</f>
        <v>1500</v>
      </c>
      <c r="K21" s="107"/>
    </row>
    <row r="22" spans="1:11" ht="12.75">
      <c r="A22" s="212"/>
      <c r="B22" s="112"/>
      <c r="C22" s="112"/>
      <c r="D22" s="112"/>
      <c r="E22" s="213"/>
      <c r="F22" s="107"/>
      <c r="G22" s="107"/>
      <c r="H22" s="107"/>
      <c r="I22" s="107">
        <v>7500</v>
      </c>
      <c r="J22" s="107">
        <f>MIN(2000,30%*'PCCV 4W Up To 6 P'!$C$15)</f>
        <v>2000</v>
      </c>
      <c r="K22" s="107"/>
    </row>
    <row r="23" spans="1:11" ht="12.75">
      <c r="A23" s="212" t="s">
        <v>111</v>
      </c>
      <c r="B23" s="112"/>
      <c r="C23" s="112">
        <v>400</v>
      </c>
      <c r="D23" s="112"/>
      <c r="E23" s="213">
        <v>100</v>
      </c>
      <c r="F23" s="107"/>
      <c r="G23" s="107"/>
      <c r="H23" s="107"/>
      <c r="I23" s="107">
        <v>15000</v>
      </c>
      <c r="J23" s="107">
        <f>MIN(2500,35%*'PCCV 4W Up To 6 P'!$C$15)</f>
        <v>2500</v>
      </c>
      <c r="K23" s="107"/>
    </row>
    <row r="24" spans="1:11" ht="12.75">
      <c r="A24" s="212" t="s">
        <v>112</v>
      </c>
      <c r="B24" s="217">
        <v>0.3</v>
      </c>
      <c r="C24" s="112"/>
      <c r="D24" s="112"/>
      <c r="E24" s="213"/>
      <c r="F24" s="107"/>
      <c r="G24" s="107"/>
      <c r="H24" s="107"/>
      <c r="I24" s="107"/>
      <c r="J24" s="107"/>
      <c r="K24" s="107"/>
    </row>
    <row r="25" spans="1:11" ht="12.75">
      <c r="A25" s="212" t="s">
        <v>79</v>
      </c>
      <c r="B25" s="218">
        <v>0.05</v>
      </c>
      <c r="C25" s="112">
        <v>50</v>
      </c>
      <c r="D25" s="112"/>
      <c r="E25" s="213"/>
      <c r="F25" s="107"/>
      <c r="G25" s="107"/>
      <c r="H25" s="107"/>
      <c r="I25" s="107"/>
      <c r="J25" s="107"/>
      <c r="K25" s="107"/>
    </row>
    <row r="26" spans="1:11" ht="12.75">
      <c r="A26" s="212" t="s">
        <v>113</v>
      </c>
      <c r="B26" s="112"/>
      <c r="C26" s="112"/>
      <c r="D26" s="112"/>
      <c r="E26" s="213">
        <v>100</v>
      </c>
      <c r="F26" s="107"/>
      <c r="G26" s="107"/>
      <c r="H26" s="107"/>
      <c r="I26" s="107"/>
      <c r="J26" s="107"/>
      <c r="K26" s="107"/>
    </row>
    <row r="27" spans="1:11" ht="12.75">
      <c r="A27" s="212" t="s">
        <v>114</v>
      </c>
      <c r="B27" s="112"/>
      <c r="C27" s="112"/>
      <c r="D27" s="112"/>
      <c r="E27" s="213">
        <v>50</v>
      </c>
      <c r="F27" s="107"/>
      <c r="G27" s="107"/>
      <c r="H27" s="107"/>
      <c r="I27" s="107"/>
      <c r="J27" s="107"/>
      <c r="K27" s="107"/>
    </row>
    <row r="28" spans="1:11" ht="12.75">
      <c r="A28" s="212" t="s">
        <v>115</v>
      </c>
      <c r="B28" s="112"/>
      <c r="C28" s="112"/>
      <c r="D28" s="112"/>
      <c r="E28" s="213">
        <v>50</v>
      </c>
      <c r="F28" s="107"/>
      <c r="G28" s="107"/>
      <c r="H28" s="107"/>
      <c r="I28" s="107"/>
      <c r="J28" s="107"/>
      <c r="K28" s="107"/>
    </row>
    <row r="29" spans="1:11" ht="12.75">
      <c r="A29" s="212"/>
      <c r="B29" s="112"/>
      <c r="C29" s="112"/>
      <c r="D29" s="112"/>
      <c r="E29" s="213"/>
      <c r="F29" s="107"/>
      <c r="G29" s="107"/>
      <c r="H29" s="107"/>
      <c r="I29" s="107"/>
      <c r="J29" s="107"/>
      <c r="K29" s="107"/>
    </row>
    <row r="30" spans="1:11" ht="12.75">
      <c r="A30" s="212"/>
      <c r="B30" s="112"/>
      <c r="C30" s="112"/>
      <c r="D30" s="112"/>
      <c r="E30" s="213"/>
      <c r="F30" s="107"/>
      <c r="G30" s="107"/>
      <c r="H30" s="107"/>
      <c r="I30" s="107"/>
      <c r="J30" s="107"/>
      <c r="K30" s="107"/>
    </row>
    <row r="31" spans="1:11" ht="12.75">
      <c r="A31" s="212"/>
      <c r="B31" s="112"/>
      <c r="C31" s="112"/>
      <c r="D31" s="112"/>
      <c r="E31" s="213"/>
      <c r="F31" s="107"/>
      <c r="G31" s="107"/>
      <c r="H31" s="107"/>
      <c r="I31" s="107"/>
      <c r="J31" s="107"/>
      <c r="K31" s="107"/>
    </row>
    <row r="32" spans="1:11" ht="12.75">
      <c r="A32" s="212" t="s">
        <v>116</v>
      </c>
      <c r="B32" s="112"/>
      <c r="C32" s="112"/>
      <c r="D32" s="112"/>
      <c r="E32" s="213"/>
      <c r="F32" s="107"/>
      <c r="G32" s="107"/>
      <c r="H32" s="107"/>
      <c r="I32" s="107"/>
      <c r="J32" s="107"/>
      <c r="K32" s="107"/>
    </row>
    <row r="33" spans="1:11" ht="12.75">
      <c r="A33" s="212" t="s">
        <v>117</v>
      </c>
      <c r="B33" s="112">
        <v>2.5</v>
      </c>
      <c r="C33" s="112">
        <v>500</v>
      </c>
      <c r="D33" s="112"/>
      <c r="E33" s="213"/>
      <c r="F33" s="107"/>
      <c r="G33" s="107"/>
      <c r="H33" s="107"/>
      <c r="I33" s="107"/>
      <c r="J33" s="107"/>
      <c r="K33" s="107"/>
    </row>
    <row r="34" spans="1:11" ht="12.75">
      <c r="A34" s="212" t="s">
        <v>118</v>
      </c>
      <c r="B34" s="112"/>
      <c r="C34" s="112"/>
      <c r="D34" s="112"/>
      <c r="E34" s="213">
        <v>100</v>
      </c>
      <c r="F34" s="107"/>
      <c r="G34" s="107"/>
      <c r="H34" s="107"/>
      <c r="I34" s="107"/>
      <c r="J34" s="107"/>
      <c r="K34" s="107"/>
    </row>
    <row r="35" spans="1:11" ht="12.75">
      <c r="A35" s="212" t="s">
        <v>78</v>
      </c>
      <c r="B35" s="217">
        <v>0.5</v>
      </c>
      <c r="C35" s="112"/>
      <c r="D35" s="112"/>
      <c r="E35" s="213"/>
      <c r="F35" s="107"/>
      <c r="G35" s="107"/>
      <c r="H35" s="107"/>
      <c r="I35" s="107"/>
      <c r="J35" s="107"/>
      <c r="K35" s="107"/>
    </row>
    <row r="36" spans="1:11" ht="12.75">
      <c r="A36" s="212" t="s">
        <v>119</v>
      </c>
      <c r="B36" s="218">
        <v>0.3333</v>
      </c>
      <c r="C36" s="112"/>
      <c r="D36" s="112"/>
      <c r="E36" s="213"/>
      <c r="F36" s="107"/>
      <c r="G36" s="107"/>
      <c r="H36" s="107"/>
      <c r="I36" s="107"/>
      <c r="J36" s="107"/>
      <c r="K36" s="107"/>
    </row>
    <row r="37" spans="1:11" ht="12.75">
      <c r="A37" s="212" t="s">
        <v>120</v>
      </c>
      <c r="B37" s="112" t="s">
        <v>106</v>
      </c>
      <c r="C37" s="112" t="s">
        <v>92</v>
      </c>
      <c r="D37" s="112" t="s">
        <v>121</v>
      </c>
      <c r="E37" s="213"/>
      <c r="F37" s="107"/>
      <c r="G37" s="107"/>
      <c r="H37" s="107"/>
      <c r="I37" s="107"/>
      <c r="J37" s="107"/>
      <c r="K37" s="107"/>
    </row>
    <row r="38" spans="1:11" ht="12.75">
      <c r="A38" s="212"/>
      <c r="B38" s="112">
        <v>2500</v>
      </c>
      <c r="C38" s="112">
        <v>20</v>
      </c>
      <c r="D38" s="112">
        <v>750</v>
      </c>
      <c r="E38" s="213"/>
      <c r="F38" s="107"/>
      <c r="G38" s="107"/>
      <c r="H38" s="107"/>
      <c r="I38" s="107"/>
      <c r="J38" s="107"/>
      <c r="K38" s="107"/>
    </row>
    <row r="39" spans="1:11" ht="12.75">
      <c r="A39" s="212"/>
      <c r="B39" s="112">
        <v>5000</v>
      </c>
      <c r="C39" s="112">
        <v>25</v>
      </c>
      <c r="D39" s="112">
        <v>1500</v>
      </c>
      <c r="E39" s="213"/>
      <c r="F39" s="107"/>
      <c r="G39" s="107"/>
      <c r="H39" s="107"/>
      <c r="I39" s="107"/>
      <c r="J39" s="107"/>
      <c r="K39" s="107"/>
    </row>
    <row r="40" spans="1:11" ht="12.75">
      <c r="A40" s="212"/>
      <c r="B40" s="112">
        <v>7500</v>
      </c>
      <c r="C40" s="112">
        <v>30</v>
      </c>
      <c r="D40" s="112">
        <v>2000</v>
      </c>
      <c r="E40" s="213"/>
      <c r="F40" s="107"/>
      <c r="G40" s="107"/>
      <c r="H40" s="107"/>
      <c r="I40" s="107"/>
      <c r="J40" s="107"/>
      <c r="K40" s="107"/>
    </row>
    <row r="41" spans="1:11" ht="12.75">
      <c r="A41" s="212"/>
      <c r="B41" s="112">
        <v>15000</v>
      </c>
      <c r="C41" s="112">
        <v>35</v>
      </c>
      <c r="D41" s="112">
        <v>2500</v>
      </c>
      <c r="E41" s="213"/>
      <c r="F41" s="107"/>
      <c r="G41" s="107"/>
      <c r="H41" s="107"/>
      <c r="I41" s="107"/>
      <c r="J41" s="107"/>
      <c r="K41" s="107"/>
    </row>
    <row r="42" spans="1:11" ht="12.75">
      <c r="A42" s="210"/>
      <c r="B42" s="107"/>
      <c r="C42" s="107"/>
      <c r="D42" s="107"/>
      <c r="E42" s="107"/>
      <c r="F42" s="107"/>
      <c r="G42" s="107"/>
      <c r="H42" s="107"/>
      <c r="I42" s="107"/>
      <c r="J42" s="107"/>
      <c r="K42" s="107"/>
    </row>
    <row r="43" spans="1:11" ht="12.75">
      <c r="A43" s="210"/>
      <c r="B43" s="107"/>
      <c r="C43" s="107"/>
      <c r="D43" s="107"/>
      <c r="E43" s="107"/>
      <c r="F43" s="107"/>
      <c r="G43" s="107"/>
      <c r="H43" s="107"/>
      <c r="I43" s="107"/>
      <c r="J43" s="107"/>
      <c r="K43" s="107"/>
    </row>
    <row r="44" spans="1:11" ht="12.75">
      <c r="A44" s="210"/>
      <c r="B44" s="107"/>
      <c r="C44" s="107"/>
      <c r="D44" s="107"/>
      <c r="E44" s="107"/>
      <c r="F44" s="107"/>
      <c r="G44" s="107"/>
      <c r="H44" s="107"/>
      <c r="I44" s="107"/>
      <c r="J44" s="107"/>
      <c r="K44" s="107"/>
    </row>
    <row r="45" spans="1:11" ht="12.75">
      <c r="A45" s="210"/>
      <c r="B45" s="107"/>
      <c r="C45" s="107"/>
      <c r="D45" s="107"/>
      <c r="E45" s="107"/>
      <c r="F45" s="107"/>
      <c r="G45" s="107"/>
      <c r="H45" s="107"/>
      <c r="I45" s="107"/>
      <c r="J45" s="107"/>
      <c r="K45" s="107"/>
    </row>
    <row r="46" spans="1:11" ht="12.75">
      <c r="A46" s="210"/>
      <c r="B46" s="107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1:11" ht="12.75">
      <c r="A47" s="210"/>
      <c r="B47" s="107"/>
      <c r="C47" s="107"/>
      <c r="D47" s="107"/>
      <c r="E47" s="107"/>
      <c r="F47" s="107"/>
      <c r="G47" s="107"/>
      <c r="H47" s="107"/>
      <c r="I47" s="107"/>
      <c r="J47" s="107"/>
      <c r="K47" s="107"/>
    </row>
  </sheetData>
  <sheetProtection selectLockedCells="1" selectUnlockedCells="1"/>
  <mergeCells count="11">
    <mergeCell ref="B10:G10"/>
    <mergeCell ref="B11:C11"/>
    <mergeCell ref="D11:E11"/>
    <mergeCell ref="F11:G11"/>
    <mergeCell ref="B17:C17"/>
    <mergeCell ref="D17:E17"/>
    <mergeCell ref="A3:G3"/>
    <mergeCell ref="B4:G4"/>
    <mergeCell ref="B5:C5"/>
    <mergeCell ref="D5:E5"/>
    <mergeCell ref="F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22">
      <selection activeCell="G31" sqref="G31"/>
    </sheetView>
  </sheetViews>
  <sheetFormatPr defaultColWidth="9.140625" defaultRowHeight="16.5" customHeight="1"/>
  <cols>
    <col min="1" max="1" width="31.28125" style="219" customWidth="1"/>
    <col min="2" max="2" width="8.57421875" style="219" customWidth="1"/>
    <col min="3" max="3" width="10.7109375" style="219" customWidth="1"/>
    <col min="4" max="4" width="3.7109375" style="219" customWidth="1"/>
    <col min="5" max="5" width="21.140625" style="219" customWidth="1"/>
    <col min="6" max="6" width="9.140625" style="219" customWidth="1"/>
    <col min="7" max="7" width="10.7109375" style="219" customWidth="1"/>
    <col min="8" max="8" width="3.57421875" style="219" customWidth="1"/>
    <col min="9" max="9" width="14.7109375" style="220" customWidth="1"/>
    <col min="10" max="10" width="2.7109375" style="220" customWidth="1"/>
    <col min="11" max="11" width="20.28125" style="220" customWidth="1"/>
    <col min="12" max="12" width="6.421875" style="221" customWidth="1"/>
    <col min="13" max="13" width="6.8515625" style="221" customWidth="1"/>
    <col min="14" max="14" width="8.7109375" style="219" customWidth="1"/>
    <col min="15" max="16384" width="9.140625" style="219" customWidth="1"/>
  </cols>
  <sheetData>
    <row r="1" spans="1:7" ht="16.5" customHeight="1">
      <c r="A1" s="608" t="s">
        <v>0</v>
      </c>
      <c r="B1" s="608"/>
      <c r="C1" s="608"/>
      <c r="D1" s="608"/>
      <c r="E1" s="608"/>
      <c r="F1" s="608"/>
      <c r="G1" s="608"/>
    </row>
    <row r="2" spans="1:9" ht="16.5" customHeight="1">
      <c r="A2" s="609" t="s">
        <v>240</v>
      </c>
      <c r="B2" s="609"/>
      <c r="C2" s="609" t="s">
        <v>93</v>
      </c>
      <c r="D2" s="609"/>
      <c r="E2" s="609"/>
      <c r="F2" s="609"/>
      <c r="G2" s="609"/>
      <c r="I2" s="554" t="s">
        <v>172</v>
      </c>
    </row>
    <row r="3" spans="1:13" ht="16.5" customHeight="1">
      <c r="A3" s="30" t="s">
        <v>128</v>
      </c>
      <c r="B3" s="515"/>
      <c r="C3" s="515"/>
      <c r="D3" s="515"/>
      <c r="E3" s="515"/>
      <c r="F3" s="515"/>
      <c r="G3" s="515"/>
      <c r="I3" s="554"/>
      <c r="L3" s="222"/>
      <c r="M3" s="222"/>
    </row>
    <row r="4" spans="1:7" ht="16.5" customHeight="1">
      <c r="A4" s="30" t="s">
        <v>45</v>
      </c>
      <c r="B4" s="515"/>
      <c r="C4" s="515"/>
      <c r="D4" s="515"/>
      <c r="E4" s="515"/>
      <c r="F4" s="515"/>
      <c r="G4" s="515"/>
    </row>
    <row r="5" spans="1:7" ht="16.5" customHeight="1">
      <c r="A5" s="605" t="s">
        <v>46</v>
      </c>
      <c r="B5" s="605"/>
      <c r="C5" s="605"/>
      <c r="D5" s="605"/>
      <c r="E5" s="605"/>
      <c r="F5" s="605"/>
      <c r="G5" s="605"/>
    </row>
    <row r="6" spans="1:7" ht="16.5" customHeight="1">
      <c r="A6" s="606" t="s">
        <v>148</v>
      </c>
      <c r="B6" s="606"/>
      <c r="C6" s="223">
        <v>115000</v>
      </c>
      <c r="D6" s="224"/>
      <c r="E6" s="606" t="s">
        <v>53</v>
      </c>
      <c r="F6" s="606"/>
      <c r="G6" s="225">
        <v>2018</v>
      </c>
    </row>
    <row r="7" spans="1:7" ht="16.5" customHeight="1">
      <c r="A7" s="606" t="s">
        <v>60</v>
      </c>
      <c r="B7" s="606"/>
      <c r="C7" s="223">
        <v>0</v>
      </c>
      <c r="D7" s="224"/>
      <c r="E7" s="606" t="s">
        <v>173</v>
      </c>
      <c r="F7" s="606"/>
      <c r="G7" s="225">
        <v>1</v>
      </c>
    </row>
    <row r="8" spans="1:13" s="227" customFormat="1" ht="16.5" customHeight="1">
      <c r="A8" s="606" t="s">
        <v>150</v>
      </c>
      <c r="B8" s="606"/>
      <c r="C8" s="223">
        <v>5000</v>
      </c>
      <c r="D8" s="224"/>
      <c r="E8" s="607" t="s">
        <v>48</v>
      </c>
      <c r="F8" s="607"/>
      <c r="G8" s="226" t="s">
        <v>151</v>
      </c>
      <c r="I8" s="228"/>
      <c r="J8" s="229"/>
      <c r="K8" s="229"/>
      <c r="L8" s="221"/>
      <c r="M8" s="221"/>
    </row>
    <row r="9" spans="1:12" ht="16.5" customHeight="1">
      <c r="A9" s="604" t="s">
        <v>152</v>
      </c>
      <c r="B9" s="604"/>
      <c r="C9" s="604"/>
      <c r="D9" s="604"/>
      <c r="E9" s="604"/>
      <c r="F9" s="604"/>
      <c r="G9" s="604"/>
      <c r="I9" s="228"/>
      <c r="J9" s="229"/>
      <c r="K9" s="229"/>
      <c r="L9" s="230"/>
    </row>
    <row r="10" spans="1:12" ht="16.5" customHeight="1">
      <c r="A10" s="605" t="s">
        <v>56</v>
      </c>
      <c r="B10" s="605"/>
      <c r="C10" s="605"/>
      <c r="D10" s="231"/>
      <c r="E10" s="605" t="s">
        <v>57</v>
      </c>
      <c r="F10" s="605"/>
      <c r="G10" s="605"/>
      <c r="I10" s="228"/>
      <c r="J10" s="229"/>
      <c r="K10" s="229"/>
      <c r="L10" s="230"/>
    </row>
    <row r="11" spans="1:12" ht="16.5" customHeight="1">
      <c r="A11" s="232" t="s">
        <v>153</v>
      </c>
      <c r="B11" s="233"/>
      <c r="C11" s="234">
        <f>Database1!G18</f>
        <v>1449</v>
      </c>
      <c r="D11" s="231"/>
      <c r="E11" s="232" t="s">
        <v>99</v>
      </c>
      <c r="F11" s="235"/>
      <c r="G11" s="234">
        <f>SUM(Database1!G19)</f>
        <v>2595</v>
      </c>
      <c r="I11" s="228"/>
      <c r="J11" s="229"/>
      <c r="K11" s="229"/>
      <c r="L11" s="230"/>
    </row>
    <row r="12" spans="1:12" ht="16.5" customHeight="1">
      <c r="A12" s="232" t="s">
        <v>60</v>
      </c>
      <c r="B12" s="235"/>
      <c r="C12" s="234">
        <f>C7*0.04</f>
        <v>0</v>
      </c>
      <c r="D12" s="231"/>
      <c r="E12" s="232" t="s">
        <v>156</v>
      </c>
      <c r="F12" s="235"/>
      <c r="G12" s="234">
        <f>IF(C8&gt;0,60,0)</f>
        <v>60</v>
      </c>
      <c r="I12" s="228"/>
      <c r="J12" s="229"/>
      <c r="K12" s="229"/>
      <c r="L12" s="230"/>
    </row>
    <row r="13" spans="1:12" ht="16.5" customHeight="1">
      <c r="A13" s="232" t="s">
        <v>108</v>
      </c>
      <c r="B13" s="235"/>
      <c r="C13" s="234">
        <f>IF(C8&gt;0,C8*4/100,0)</f>
        <v>200</v>
      </c>
      <c r="D13" s="231"/>
      <c r="E13" s="232" t="s">
        <v>174</v>
      </c>
      <c r="F13" s="235"/>
      <c r="G13" s="234">
        <f>G7*1214</f>
        <v>1214</v>
      </c>
      <c r="I13" s="228"/>
      <c r="J13" s="229"/>
      <c r="K13" s="229"/>
      <c r="L13" s="230"/>
    </row>
    <row r="14" spans="1:12" ht="16.5" customHeight="1">
      <c r="A14" s="236" t="s">
        <v>65</v>
      </c>
      <c r="B14" s="237"/>
      <c r="C14" s="238">
        <f>SUM(C11:C13)</f>
        <v>1649</v>
      </c>
      <c r="D14" s="231"/>
      <c r="E14" s="236" t="s">
        <v>157</v>
      </c>
      <c r="F14" s="237"/>
      <c r="G14" s="640">
        <f>SUM(G11:G13)</f>
        <v>3869</v>
      </c>
      <c r="I14" s="228"/>
      <c r="J14" s="229"/>
      <c r="K14" s="229"/>
      <c r="L14" s="230"/>
    </row>
    <row r="15" spans="1:12" ht="16.5" customHeight="1">
      <c r="A15" s="232" t="s">
        <v>158</v>
      </c>
      <c r="B15" s="226" t="s">
        <v>37</v>
      </c>
      <c r="C15" s="234">
        <f>IF(B15="Yes",(C11+C12+C13)*0.15,0)</f>
        <v>0</v>
      </c>
      <c r="D15" s="231"/>
      <c r="E15" s="232" t="s">
        <v>136</v>
      </c>
      <c r="F15" s="226" t="s">
        <v>62</v>
      </c>
      <c r="G15" s="234">
        <f>IF(F15="Yes",50*F16,0)</f>
        <v>50</v>
      </c>
      <c r="I15" s="228"/>
      <c r="J15" s="229"/>
      <c r="K15" s="229"/>
      <c r="L15" s="230"/>
    </row>
    <row r="16" spans="1:12" ht="16.5" customHeight="1">
      <c r="A16" s="232" t="s">
        <v>137</v>
      </c>
      <c r="B16" s="239" t="s">
        <v>37</v>
      </c>
      <c r="C16" s="234">
        <f>C6*A54/10</f>
        <v>0</v>
      </c>
      <c r="D16" s="231"/>
      <c r="E16" s="232" t="s">
        <v>175</v>
      </c>
      <c r="F16" s="226">
        <v>1</v>
      </c>
      <c r="G16" s="234"/>
      <c r="I16" s="228"/>
      <c r="J16" s="229"/>
      <c r="K16" s="229"/>
      <c r="L16" s="240"/>
    </row>
    <row r="17" spans="1:12" ht="16.5" customHeight="1">
      <c r="A17" s="43" t="s">
        <v>160</v>
      </c>
      <c r="B17" s="50">
        <v>0.2</v>
      </c>
      <c r="C17" s="44">
        <f>(C14)*B17</f>
        <v>329.8</v>
      </c>
      <c r="D17" s="231"/>
      <c r="E17" s="232"/>
      <c r="F17" s="226"/>
      <c r="G17" s="234"/>
      <c r="I17" s="228"/>
      <c r="J17" s="229"/>
      <c r="K17" s="229"/>
      <c r="L17" s="230"/>
    </row>
    <row r="18" spans="1:12" ht="16.5" customHeight="1">
      <c r="A18" s="232" t="s">
        <v>170</v>
      </c>
      <c r="B18" s="226" t="s">
        <v>37</v>
      </c>
      <c r="C18" s="234">
        <f>IF(B18="Yes",C14*0.3,0)</f>
        <v>0</v>
      </c>
      <c r="D18" s="231"/>
      <c r="E18" s="241" t="s">
        <v>135</v>
      </c>
      <c r="F18" s="226" t="s">
        <v>62</v>
      </c>
      <c r="G18" s="234">
        <f>IF(F18="Yes",320,0)</f>
        <v>320</v>
      </c>
      <c r="I18" s="228"/>
      <c r="J18" s="229"/>
      <c r="K18" s="229"/>
      <c r="L18" s="230"/>
    </row>
    <row r="19" spans="1:12" ht="16.5" customHeight="1">
      <c r="A19" s="232" t="s">
        <v>140</v>
      </c>
      <c r="B19" s="226" t="s">
        <v>37</v>
      </c>
      <c r="C19" s="234">
        <f>IF(B19="Yes",50,0)</f>
        <v>0</v>
      </c>
      <c r="D19" s="231"/>
      <c r="E19" s="232" t="s">
        <v>70</v>
      </c>
      <c r="F19" s="235"/>
      <c r="G19" s="234"/>
      <c r="I19" s="228"/>
      <c r="J19" s="229"/>
      <c r="K19" s="229"/>
      <c r="L19" s="230"/>
    </row>
    <row r="20" spans="1:12" ht="16.5" customHeight="1">
      <c r="A20" s="232" t="s">
        <v>70</v>
      </c>
      <c r="B20" s="232"/>
      <c r="C20" s="232"/>
      <c r="D20" s="231"/>
      <c r="E20" s="232"/>
      <c r="F20" s="235"/>
      <c r="G20" s="234"/>
      <c r="I20" s="228"/>
      <c r="J20" s="229"/>
      <c r="K20" s="229"/>
      <c r="L20" s="230"/>
    </row>
    <row r="21" spans="1:12" ht="16.5" customHeight="1">
      <c r="A21" s="242" t="s">
        <v>142</v>
      </c>
      <c r="B21" s="243"/>
      <c r="C21" s="244">
        <f>SUM(C14:C19)</f>
        <v>1978.8</v>
      </c>
      <c r="D21" s="231"/>
      <c r="E21" s="242" t="s">
        <v>164</v>
      </c>
      <c r="F21" s="243"/>
      <c r="G21" s="641">
        <f>G15+G18</f>
        <v>370</v>
      </c>
      <c r="I21" s="228"/>
      <c r="J21" s="229"/>
      <c r="K21" s="229"/>
      <c r="L21" s="230"/>
    </row>
    <row r="22" spans="1:7" ht="16.5" customHeight="1">
      <c r="A22" s="232" t="s">
        <v>165</v>
      </c>
      <c r="B22" s="235"/>
      <c r="C22" s="234"/>
      <c r="D22" s="231"/>
      <c r="E22" s="232" t="s">
        <v>118</v>
      </c>
      <c r="F22" s="36">
        <v>750000</v>
      </c>
      <c r="G22" s="642">
        <f>IF(F22=750000,0,150)</f>
        <v>0</v>
      </c>
    </row>
    <row r="23" spans="1:7" ht="16.5" customHeight="1">
      <c r="A23" s="232" t="s">
        <v>117</v>
      </c>
      <c r="B23" s="226" t="s">
        <v>37</v>
      </c>
      <c r="C23" s="234">
        <f>IF(B23="Yes",MIN(C21*0.025,500),0)</f>
        <v>0</v>
      </c>
      <c r="D23" s="231"/>
      <c r="E23" s="232"/>
      <c r="F23" s="232"/>
      <c r="G23" s="232"/>
    </row>
    <row r="24" spans="1:7" ht="16.5" customHeight="1">
      <c r="A24" s="232" t="s">
        <v>79</v>
      </c>
      <c r="B24" s="226" t="s">
        <v>37</v>
      </c>
      <c r="C24" s="234">
        <f>IF(B24="Yes",MIN(C21*0.05,200),0)</f>
        <v>0</v>
      </c>
      <c r="D24" s="231"/>
      <c r="E24" s="232"/>
      <c r="F24" s="235"/>
      <c r="G24" s="234"/>
    </row>
    <row r="25" spans="1:7" ht="16.5" customHeight="1">
      <c r="A25" s="232" t="s">
        <v>144</v>
      </c>
      <c r="B25" s="226" t="s">
        <v>37</v>
      </c>
      <c r="C25" s="234">
        <f>IF(B25="Yes",C21*(1/3),0)</f>
        <v>0</v>
      </c>
      <c r="D25" s="231"/>
      <c r="E25" s="232"/>
      <c r="F25" s="235"/>
      <c r="G25" s="234"/>
    </row>
    <row r="26" spans="1:7" ht="16.5" customHeight="1">
      <c r="A26" s="236" t="s">
        <v>166</v>
      </c>
      <c r="B26" s="235"/>
      <c r="C26" s="234">
        <f>C21-SUM(C23:C25)</f>
        <v>1978.8</v>
      </c>
      <c r="D26" s="231"/>
      <c r="E26" s="232"/>
      <c r="F26" s="235"/>
      <c r="G26" s="234"/>
    </row>
    <row r="27" spans="1:7" ht="16.5" customHeight="1">
      <c r="A27" s="232" t="s">
        <v>145</v>
      </c>
      <c r="B27" s="455">
        <v>0.2</v>
      </c>
      <c r="C27" s="234">
        <f>(C26-C28-C30)*B27</f>
        <v>244.05200000000002</v>
      </c>
      <c r="D27" s="231"/>
      <c r="E27" s="236"/>
      <c r="F27" s="235"/>
      <c r="G27" s="234"/>
    </row>
    <row r="28" spans="1:7" ht="16.5" customHeight="1">
      <c r="A28" s="232" t="s">
        <v>85</v>
      </c>
      <c r="B28" s="456">
        <v>0.45</v>
      </c>
      <c r="C28" s="234">
        <f>(C14+C15+C16)*B28</f>
        <v>742.0500000000001</v>
      </c>
      <c r="D28" s="231"/>
      <c r="E28" s="236"/>
      <c r="F28" s="235"/>
      <c r="G28" s="234"/>
    </row>
    <row r="29" spans="1:13" s="155" customFormat="1" ht="14.25" customHeight="1">
      <c r="A29" s="126" t="s">
        <v>226</v>
      </c>
      <c r="B29" s="171">
        <v>0.2</v>
      </c>
      <c r="C29" s="47">
        <f>C17*B29</f>
        <v>65.96000000000001</v>
      </c>
      <c r="D29" s="446"/>
      <c r="E29" s="43"/>
      <c r="F29" s="177"/>
      <c r="G29" s="163"/>
      <c r="H29" s="333"/>
      <c r="K29" s="41"/>
      <c r="L29" s="41"/>
      <c r="M29" s="41"/>
    </row>
    <row r="30" spans="1:7" ht="16.5" customHeight="1">
      <c r="A30" s="43" t="s">
        <v>225</v>
      </c>
      <c r="B30" s="50">
        <v>0.05</v>
      </c>
      <c r="C30" s="245">
        <f>C17*B30</f>
        <v>16.490000000000002</v>
      </c>
      <c r="D30" s="231"/>
      <c r="E30" s="236"/>
      <c r="F30" s="235"/>
      <c r="G30" s="234"/>
    </row>
    <row r="31" spans="1:7" ht="16.5" customHeight="1">
      <c r="A31" s="605" t="s">
        <v>86</v>
      </c>
      <c r="B31" s="605"/>
      <c r="C31" s="246">
        <f>C26-C27-C28-C30</f>
        <v>976.208</v>
      </c>
      <c r="D31" s="231"/>
      <c r="E31" s="605" t="s">
        <v>87</v>
      </c>
      <c r="F31" s="605"/>
      <c r="G31" s="640">
        <f>G14+G21+G22</f>
        <v>4239</v>
      </c>
    </row>
    <row r="32" spans="1:7" ht="16.5" customHeight="1">
      <c r="A32" s="228"/>
      <c r="B32" s="228"/>
      <c r="C32" s="247"/>
      <c r="D32" s="248"/>
      <c r="E32" s="228"/>
      <c r="F32" s="228"/>
      <c r="G32" s="249"/>
    </row>
    <row r="33" spans="1:7" ht="16.5" customHeight="1">
      <c r="A33" s="250"/>
      <c r="B33" s="251"/>
      <c r="C33" s="250"/>
      <c r="D33" s="248"/>
      <c r="E33" s="252"/>
      <c r="F33" s="250"/>
      <c r="G33" s="253"/>
    </row>
    <row r="34" spans="1:7" ht="16.5" customHeight="1">
      <c r="A34" s="506"/>
      <c r="B34" s="605" t="s">
        <v>90</v>
      </c>
      <c r="C34" s="605"/>
      <c r="D34" s="605"/>
      <c r="E34" s="254" t="s">
        <v>88</v>
      </c>
      <c r="F34" s="255" t="s">
        <v>89</v>
      </c>
      <c r="G34" s="256" t="s">
        <v>38</v>
      </c>
    </row>
    <row r="35" spans="1:7" ht="16.5" customHeight="1">
      <c r="A35" s="506"/>
      <c r="B35" s="605"/>
      <c r="C35" s="605"/>
      <c r="D35" s="605"/>
      <c r="E35" s="257">
        <f>C31</f>
        <v>976.208</v>
      </c>
      <c r="F35" s="234">
        <f>G31</f>
        <v>4239</v>
      </c>
      <c r="G35" s="238">
        <f>SUM(E35:F35)</f>
        <v>5215.208</v>
      </c>
    </row>
    <row r="36" spans="1:13" s="259" customFormat="1" ht="16.5" customHeight="1">
      <c r="A36" s="506"/>
      <c r="B36" s="576" t="s">
        <v>146</v>
      </c>
      <c r="C36" s="576"/>
      <c r="D36" s="576"/>
      <c r="E36" s="258">
        <f>(E35+G18+G15)*0.18</f>
        <v>242.31744</v>
      </c>
      <c r="F36" s="258">
        <f>(F35-G15-G18)*0.18</f>
        <v>696.42</v>
      </c>
      <c r="G36" s="258">
        <f>G35*0.18</f>
        <v>938.7374399999999</v>
      </c>
      <c r="I36" s="260"/>
      <c r="J36" s="260"/>
      <c r="K36" s="260"/>
      <c r="L36" s="221"/>
      <c r="M36" s="221"/>
    </row>
    <row r="37" spans="1:13" s="259" customFormat="1" ht="16.5" customHeight="1">
      <c r="A37" s="506"/>
      <c r="B37" s="605" t="s">
        <v>176</v>
      </c>
      <c r="C37" s="605"/>
      <c r="D37" s="605"/>
      <c r="E37" s="246">
        <f>SUM(E35:E36)</f>
        <v>1218.52544</v>
      </c>
      <c r="F37" s="246">
        <f>SUM(F35:F36)</f>
        <v>4935.42</v>
      </c>
      <c r="G37" s="238">
        <f>SUM(G35:G36)</f>
        <v>6153.9454399999995</v>
      </c>
      <c r="I37" s="260"/>
      <c r="J37" s="260"/>
      <c r="K37" s="260"/>
      <c r="L37" s="221"/>
      <c r="M37" s="221"/>
    </row>
    <row r="38" ht="16.5" customHeight="1">
      <c r="G38" s="261"/>
    </row>
    <row r="39" spans="1:3" s="26" customFormat="1" ht="13.5">
      <c r="A39" s="532" t="s">
        <v>220</v>
      </c>
      <c r="B39" s="532"/>
      <c r="C39" s="27"/>
    </row>
    <row r="40" spans="1:3" s="26" customFormat="1" ht="13.5">
      <c r="A40" s="385" t="s">
        <v>215</v>
      </c>
      <c r="B40" s="385" t="s">
        <v>216</v>
      </c>
      <c r="C40" s="27"/>
    </row>
    <row r="41" spans="1:3" s="26" customFormat="1" ht="13.5">
      <c r="A41" s="385" t="s">
        <v>217</v>
      </c>
      <c r="B41" s="386">
        <v>0.1</v>
      </c>
      <c r="C41" s="27"/>
    </row>
    <row r="42" spans="1:3" s="26" customFormat="1" ht="13.5">
      <c r="A42" s="385" t="s">
        <v>218</v>
      </c>
      <c r="B42" s="386">
        <v>0.2</v>
      </c>
      <c r="C42" s="27"/>
    </row>
    <row r="43" spans="1:3" s="26" customFormat="1" ht="13.5">
      <c r="A43" s="385" t="s">
        <v>219</v>
      </c>
      <c r="B43" s="386">
        <v>0.3</v>
      </c>
      <c r="C43" s="27"/>
    </row>
    <row r="44" spans="4:5" ht="16.5" customHeight="1">
      <c r="D44" s="259"/>
      <c r="E44" s="262"/>
    </row>
    <row r="49" ht="15.75" customHeight="1"/>
    <row r="50" ht="15.75" customHeight="1" hidden="1"/>
    <row r="51" ht="15.75" customHeight="1" hidden="1"/>
    <row r="52" ht="15.75" customHeight="1" hidden="1"/>
    <row r="53" spans="1:2" ht="16.5" customHeight="1" hidden="1">
      <c r="A53" s="263" t="s">
        <v>92</v>
      </c>
      <c r="B53" s="263" t="s">
        <v>93</v>
      </c>
    </row>
    <row r="54" spans="1:2" ht="16.5" customHeight="1" hidden="1">
      <c r="A54" s="263" t="b">
        <f>IF(B16="Yes",IF(B54=0,4.5%,IF(B54=1,5.5%,IF(B54=2,7%,0))))</f>
        <v>0</v>
      </c>
      <c r="B54" s="264">
        <f ca="1">YEAR(TODAY())-(G6)</f>
        <v>4</v>
      </c>
    </row>
    <row r="55" ht="16.5" customHeight="1" hidden="1"/>
    <row r="56" ht="16.5" customHeight="1" hidden="1"/>
  </sheetData>
  <sheetProtection password="CEED" sheet="1"/>
  <mergeCells count="23">
    <mergeCell ref="A1:G1"/>
    <mergeCell ref="A2:G2"/>
    <mergeCell ref="I2:I3"/>
    <mergeCell ref="B3:G3"/>
    <mergeCell ref="B4:G4"/>
    <mergeCell ref="A5:G5"/>
    <mergeCell ref="B37:D37"/>
    <mergeCell ref="A6:B6"/>
    <mergeCell ref="E6:F6"/>
    <mergeCell ref="A7:B7"/>
    <mergeCell ref="E7:F7"/>
    <mergeCell ref="A8:B8"/>
    <mergeCell ref="E8:F8"/>
    <mergeCell ref="A39:B39"/>
    <mergeCell ref="A9:G9"/>
    <mergeCell ref="A10:C10"/>
    <mergeCell ref="E10:G10"/>
    <mergeCell ref="A31:B31"/>
    <mergeCell ref="E31:F31"/>
    <mergeCell ref="A34:A37"/>
    <mergeCell ref="B34:D34"/>
    <mergeCell ref="B35:D35"/>
    <mergeCell ref="B36:D36"/>
  </mergeCells>
  <dataValidations count="7">
    <dataValidation type="list" allowBlank="1" showErrorMessage="1" sqref="F22">
      <formula1>"750000,6000"</formula1>
      <formula2>0</formula2>
    </dataValidation>
    <dataValidation type="list" allowBlank="1" showErrorMessage="1" sqref="B13 B15:B16 F15 B18:B19 F18 B23:B25">
      <formula1>"Yes,No"</formula1>
      <formula2>0</formula2>
    </dataValidation>
    <dataValidation type="list" allowBlank="1" showErrorMessage="1" sqref="B27">
      <formula1>"0%,20%,25%,35%,45%,50%,"</formula1>
      <formula2>0</formula2>
    </dataValidation>
    <dataValidation type="list" allowBlank="1" showErrorMessage="1" sqref="G8">
      <formula1>"A,B,C"</formula1>
      <formula2>0</formula2>
    </dataValidation>
    <dataValidation type="list" allowBlank="1" showErrorMessage="1" sqref="B17">
      <formula1>"0%,10%,20%,30%,"</formula1>
    </dataValidation>
    <dataValidation type="list" allowBlank="1" showErrorMessage="1" sqref="B30">
      <formula1>"0%,5%"</formula1>
    </dataValidation>
    <dataValidation type="list" allowBlank="1" showErrorMessage="1" sqref="B29">
      <formula1>"0,20%"</formula1>
    </dataValidation>
  </dataValidations>
  <hyperlinks>
    <hyperlink ref="I2" location="HyperLink!A1" display="BACK  "/>
  </hyperlinks>
  <printOptions/>
  <pageMargins left="0.7479166666666667" right="0.2701388888888889" top="0.9840277777777777" bottom="0.9840277777777777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24">
      <selection activeCell="F41" sqref="F41"/>
    </sheetView>
  </sheetViews>
  <sheetFormatPr defaultColWidth="9.140625" defaultRowHeight="14.25" customHeight="1"/>
  <cols>
    <col min="1" max="1" width="27.8515625" style="26" customWidth="1"/>
    <col min="2" max="2" width="8.421875" style="26" customWidth="1"/>
    <col min="3" max="3" width="11.7109375" style="26" customWidth="1"/>
    <col min="4" max="4" width="2.28125" style="26" customWidth="1"/>
    <col min="5" max="5" width="23.7109375" style="26" customWidth="1"/>
    <col min="6" max="6" width="11.140625" style="26" customWidth="1"/>
    <col min="7" max="7" width="11.7109375" style="26" customWidth="1"/>
    <col min="8" max="8" width="2.57421875" style="26" customWidth="1"/>
    <col min="9" max="9" width="5.7109375" style="26" customWidth="1"/>
    <col min="10" max="10" width="7.57421875" style="26" customWidth="1"/>
    <col min="11" max="11" width="4.00390625" style="26" customWidth="1"/>
    <col min="12" max="12" width="19.8515625" style="26" customWidth="1"/>
    <col min="13" max="16384" width="9.140625" style="26" customWidth="1"/>
  </cols>
  <sheetData>
    <row r="1" spans="1:7" ht="14.25" customHeight="1">
      <c r="A1" s="593" t="s">
        <v>0</v>
      </c>
      <c r="B1" s="593"/>
      <c r="C1" s="593"/>
      <c r="D1" s="593"/>
      <c r="E1" s="593"/>
      <c r="F1" s="593"/>
      <c r="G1" s="593"/>
    </row>
    <row r="2" spans="1:10" ht="14.25" customHeight="1">
      <c r="A2" s="504" t="s">
        <v>241</v>
      </c>
      <c r="B2" s="504"/>
      <c r="C2" s="504"/>
      <c r="D2" s="504"/>
      <c r="E2" s="504"/>
      <c r="F2" s="504"/>
      <c r="G2" s="504"/>
      <c r="I2" s="612" t="s">
        <v>28</v>
      </c>
      <c r="J2" s="612"/>
    </row>
    <row r="3" spans="1:10" ht="14.25" customHeight="1">
      <c r="A3" s="393" t="s">
        <v>128</v>
      </c>
      <c r="B3" s="510"/>
      <c r="C3" s="510"/>
      <c r="D3" s="510"/>
      <c r="E3" s="510"/>
      <c r="F3" s="510"/>
      <c r="G3" s="510"/>
      <c r="I3" s="612"/>
      <c r="J3" s="612"/>
    </row>
    <row r="4" spans="1:7" ht="14.25" customHeight="1">
      <c r="A4" s="393" t="s">
        <v>45</v>
      </c>
      <c r="B4" s="504"/>
      <c r="C4" s="504"/>
      <c r="D4" s="504"/>
      <c r="E4" s="504"/>
      <c r="F4" s="504"/>
      <c r="G4" s="504"/>
    </row>
    <row r="5" spans="1:7" ht="14.25" customHeight="1">
      <c r="A5" s="504" t="s">
        <v>46</v>
      </c>
      <c r="B5" s="504"/>
      <c r="C5" s="504"/>
      <c r="D5" s="504"/>
      <c r="E5" s="504"/>
      <c r="F5" s="504"/>
      <c r="G5" s="504"/>
    </row>
    <row r="6" spans="1:7" ht="14.25" customHeight="1">
      <c r="A6" s="510" t="s">
        <v>47</v>
      </c>
      <c r="B6" s="510"/>
      <c r="C6" s="34">
        <v>500000</v>
      </c>
      <c r="D6" s="510"/>
      <c r="E6" s="510" t="s">
        <v>53</v>
      </c>
      <c r="F6" s="510"/>
      <c r="G6" s="39">
        <v>2017</v>
      </c>
    </row>
    <row r="7" spans="1:7" ht="14.25" customHeight="1">
      <c r="A7" s="510" t="s">
        <v>50</v>
      </c>
      <c r="B7" s="510"/>
      <c r="C7" s="34">
        <v>0</v>
      </c>
      <c r="D7" s="510"/>
      <c r="E7" s="580" t="s">
        <v>48</v>
      </c>
      <c r="F7" s="580"/>
      <c r="G7" s="36" t="s">
        <v>49</v>
      </c>
    </row>
    <row r="8" spans="1:7" ht="14.25" customHeight="1">
      <c r="A8" s="510" t="s">
        <v>52</v>
      </c>
      <c r="B8" s="510"/>
      <c r="C8" s="34">
        <v>0</v>
      </c>
      <c r="D8" s="510"/>
      <c r="E8" s="510" t="s">
        <v>129</v>
      </c>
      <c r="F8" s="510"/>
      <c r="G8" s="36">
        <v>1600</v>
      </c>
    </row>
    <row r="9" spans="1:12" s="41" customFormat="1" ht="14.25" customHeight="1">
      <c r="A9" s="510" t="s">
        <v>109</v>
      </c>
      <c r="B9" s="510"/>
      <c r="C9" s="34">
        <v>0</v>
      </c>
      <c r="D9" s="510"/>
      <c r="E9" s="400"/>
      <c r="F9" s="400"/>
      <c r="G9" s="400"/>
      <c r="J9" s="26"/>
      <c r="K9" s="26"/>
      <c r="L9" s="26"/>
    </row>
    <row r="10" spans="1:7" ht="14.25" customHeight="1">
      <c r="A10" s="604" t="s">
        <v>152</v>
      </c>
      <c r="B10" s="604"/>
      <c r="C10" s="604"/>
      <c r="D10" s="604"/>
      <c r="E10" s="604"/>
      <c r="F10" s="604"/>
      <c r="G10" s="604"/>
    </row>
    <row r="11" spans="1:7" ht="14.25" customHeight="1">
      <c r="A11" s="504" t="s">
        <v>56</v>
      </c>
      <c r="B11" s="504"/>
      <c r="C11" s="504"/>
      <c r="D11" s="562"/>
      <c r="E11" s="504" t="s">
        <v>57</v>
      </c>
      <c r="F11" s="504"/>
      <c r="G11" s="504"/>
    </row>
    <row r="12" spans="1:7" ht="14.25" customHeight="1">
      <c r="A12" s="43" t="s">
        <v>153</v>
      </c>
      <c r="B12" s="45"/>
      <c r="C12" s="44">
        <f>+C6*PCCVCAL!B8/100</f>
        <v>17990</v>
      </c>
      <c r="D12" s="562"/>
      <c r="E12" s="43" t="s">
        <v>99</v>
      </c>
      <c r="F12" s="45"/>
      <c r="G12" s="44">
        <f>PCCVCAL!B11</f>
        <v>10523</v>
      </c>
    </row>
    <row r="13" spans="1:12" s="191" customFormat="1" ht="13.5" customHeight="1">
      <c r="A13" s="43" t="s">
        <v>60</v>
      </c>
      <c r="B13" s="45"/>
      <c r="C13" s="44">
        <f>4%*C7</f>
        <v>0</v>
      </c>
      <c r="D13" s="562"/>
      <c r="E13" s="43" t="s">
        <v>109</v>
      </c>
      <c r="F13" s="45"/>
      <c r="G13" s="44">
        <f>IF(B19="Yes",125,0)</f>
        <v>0</v>
      </c>
      <c r="J13" s="26"/>
      <c r="K13" s="26"/>
      <c r="L13" s="26"/>
    </row>
    <row r="14" spans="1:7" ht="14.25" customHeight="1">
      <c r="A14" s="43" t="s">
        <v>156</v>
      </c>
      <c r="B14" s="45"/>
      <c r="C14" s="44">
        <f>IF(C8&gt;0,4%*C8,0)</f>
        <v>0</v>
      </c>
      <c r="D14" s="562"/>
      <c r="E14" s="43" t="s">
        <v>156</v>
      </c>
      <c r="F14" s="45"/>
      <c r="G14" s="44">
        <f>IF(C8&gt;0,60,0)</f>
        <v>0</v>
      </c>
    </row>
    <row r="15" spans="1:7" ht="14.25" customHeight="1">
      <c r="A15" s="48" t="s">
        <v>65</v>
      </c>
      <c r="B15" s="49"/>
      <c r="C15" s="58">
        <f>SUM(C12+C13+C14)</f>
        <v>17990</v>
      </c>
      <c r="D15" s="562"/>
      <c r="E15" s="48" t="s">
        <v>66</v>
      </c>
      <c r="F15" s="49"/>
      <c r="G15" s="639">
        <f>SUM(G12:G14)</f>
        <v>10523</v>
      </c>
    </row>
    <row r="16" spans="1:7" ht="14.25" customHeight="1">
      <c r="A16" s="160" t="s">
        <v>160</v>
      </c>
      <c r="B16" s="50">
        <v>0.2</v>
      </c>
      <c r="C16" s="164">
        <f>SUM((C15+C19+C23+C21)*B16)</f>
        <v>3598</v>
      </c>
      <c r="D16" s="562"/>
      <c r="E16" s="43" t="s">
        <v>177</v>
      </c>
      <c r="F16" s="36" t="s">
        <v>62</v>
      </c>
      <c r="G16" s="44">
        <f>IF(F16="Yes",320,0)</f>
        <v>320</v>
      </c>
    </row>
    <row r="17" spans="1:7" ht="14.25" customHeight="1">
      <c r="A17" s="419" t="s">
        <v>158</v>
      </c>
      <c r="B17" s="268" t="s">
        <v>62</v>
      </c>
      <c r="C17" s="424">
        <f>IF(B17="Yes",(C13+C14+C15)*0.15,0)</f>
        <v>2698.5</v>
      </c>
      <c r="D17" s="562"/>
      <c r="E17" s="43" t="s">
        <v>139</v>
      </c>
      <c r="F17" s="36">
        <v>1</v>
      </c>
      <c r="G17" s="325">
        <f>IF(G8&lt;=1000,"1162",IF(G8&lt;=1500,"978",IF(G8&gt;=1500,"1117")))*F17</f>
        <v>1117</v>
      </c>
    </row>
    <row r="18" spans="1:7" ht="14.25" customHeight="1">
      <c r="A18" s="43" t="s">
        <v>137</v>
      </c>
      <c r="B18" s="162" t="s">
        <v>37</v>
      </c>
      <c r="C18" s="44">
        <f>C6*A54/10</f>
        <v>0</v>
      </c>
      <c r="D18" s="562"/>
      <c r="E18" s="130">
        <f>IF(F17="Yes","No of Seats/Limit Per Person","")</f>
      </c>
      <c r="F18" s="45"/>
      <c r="G18" s="131"/>
    </row>
    <row r="19" spans="1:7" ht="14.25" customHeight="1">
      <c r="A19" s="43" t="s">
        <v>109</v>
      </c>
      <c r="B19" s="36" t="s">
        <v>37</v>
      </c>
      <c r="C19" s="44">
        <f>IF(B19="Yes",50+(0.5%*C9),0)</f>
        <v>0</v>
      </c>
      <c r="D19" s="562"/>
      <c r="E19" s="43" t="s">
        <v>136</v>
      </c>
      <c r="F19" s="36" t="s">
        <v>62</v>
      </c>
      <c r="G19" s="44">
        <f>IF(F19="Yes",50*F20,0)</f>
        <v>50</v>
      </c>
    </row>
    <row r="20" spans="1:7" ht="14.25" customHeight="1">
      <c r="A20" s="43" t="s">
        <v>170</v>
      </c>
      <c r="B20" s="36" t="s">
        <v>37</v>
      </c>
      <c r="C20" s="44">
        <f>IF(B20="yes",30%*C15,0)</f>
        <v>0</v>
      </c>
      <c r="D20" s="562"/>
      <c r="E20" s="130" t="str">
        <f>IF(F19="Yes","No of Driver/Employees","")</f>
        <v>No of Driver/Employees</v>
      </c>
      <c r="F20" s="36">
        <v>1</v>
      </c>
      <c r="G20" s="401"/>
    </row>
    <row r="21" spans="1:7" ht="14.25" customHeight="1">
      <c r="A21" s="43" t="s">
        <v>140</v>
      </c>
      <c r="B21" s="36" t="s">
        <v>37</v>
      </c>
      <c r="C21" s="44">
        <f>IF(B21="Yes",50,0)</f>
        <v>0</v>
      </c>
      <c r="D21" s="562"/>
      <c r="E21" s="43" t="s">
        <v>70</v>
      </c>
      <c r="F21" s="45"/>
      <c r="G21" s="44">
        <f>IF(B22="Yes",500,0)</f>
        <v>0</v>
      </c>
    </row>
    <row r="22" spans="1:7" ht="14.25" customHeight="1">
      <c r="A22" s="43" t="s">
        <v>141</v>
      </c>
      <c r="B22" s="36" t="s">
        <v>37</v>
      </c>
      <c r="C22" s="44">
        <f>IF(B22="Yes",60%*C15,0)</f>
        <v>0</v>
      </c>
      <c r="D22" s="562"/>
      <c r="E22" s="43"/>
      <c r="F22" s="45"/>
      <c r="G22" s="44"/>
    </row>
    <row r="23" spans="1:7" ht="14.25" customHeight="1">
      <c r="A23" s="43" t="s">
        <v>70</v>
      </c>
      <c r="B23" s="36" t="s">
        <v>37</v>
      </c>
      <c r="C23" s="44">
        <f>IF(B23="Yes",400,0)</f>
        <v>0</v>
      </c>
      <c r="D23" s="562"/>
      <c r="E23" s="43"/>
      <c r="F23" s="43"/>
      <c r="G23" s="43"/>
    </row>
    <row r="24" spans="1:7" ht="14.25" customHeight="1">
      <c r="A24" s="48" t="s">
        <v>74</v>
      </c>
      <c r="B24" s="45"/>
      <c r="C24" s="44">
        <f>SUM(C15:C22)</f>
        <v>24286.5</v>
      </c>
      <c r="D24" s="562"/>
      <c r="E24" s="48" t="s">
        <v>75</v>
      </c>
      <c r="F24" s="45"/>
      <c r="G24" s="638">
        <f>G16+G17+G19+G21</f>
        <v>1487</v>
      </c>
    </row>
    <row r="25" spans="1:7" ht="14.25" customHeight="1">
      <c r="A25" s="35" t="s">
        <v>165</v>
      </c>
      <c r="B25" s="45"/>
      <c r="C25" s="44"/>
      <c r="D25" s="562"/>
      <c r="E25" s="43" t="s">
        <v>118</v>
      </c>
      <c r="F25" s="402">
        <v>750000</v>
      </c>
      <c r="G25" s="638">
        <f>IF(F25=750000,0,100)</f>
        <v>0</v>
      </c>
    </row>
    <row r="26" spans="1:7" ht="14.25" customHeight="1">
      <c r="A26" s="43" t="s">
        <v>117</v>
      </c>
      <c r="B26" s="36" t="s">
        <v>37</v>
      </c>
      <c r="C26" s="44">
        <f>IF(B26="Yes",MIN(500,2.5%*C15),0)</f>
        <v>0</v>
      </c>
      <c r="D26" s="562"/>
      <c r="E26" s="43"/>
      <c r="F26" s="45"/>
      <c r="G26" s="44"/>
    </row>
    <row r="27" spans="1:7" ht="14.25" customHeight="1">
      <c r="A27" s="43" t="s">
        <v>78</v>
      </c>
      <c r="B27" s="36" t="s">
        <v>37</v>
      </c>
      <c r="C27" s="44">
        <f>IF(B27="Yes",50%*C15,0)</f>
        <v>0</v>
      </c>
      <c r="D27" s="562"/>
      <c r="E27" s="43"/>
      <c r="F27" s="45"/>
      <c r="G27" s="44"/>
    </row>
    <row r="28" spans="1:7" ht="14.25" customHeight="1">
      <c r="A28" s="43" t="s">
        <v>79</v>
      </c>
      <c r="B28" s="36" t="s">
        <v>37</v>
      </c>
      <c r="C28" s="44">
        <f>IF(B28="Yes",MIN(200,5%*C15),0)</f>
        <v>0</v>
      </c>
      <c r="D28" s="562"/>
      <c r="E28" s="43"/>
      <c r="F28" s="45"/>
      <c r="G28" s="44"/>
    </row>
    <row r="29" spans="1:7" ht="14.25" customHeight="1">
      <c r="A29" s="43" t="s">
        <v>144</v>
      </c>
      <c r="B29" s="36" t="s">
        <v>37</v>
      </c>
      <c r="C29" s="44">
        <f>IF(B29="Yes",33.33%*C15,0)</f>
        <v>0</v>
      </c>
      <c r="D29" s="562"/>
      <c r="E29" s="43"/>
      <c r="F29" s="45"/>
      <c r="G29" s="44"/>
    </row>
    <row r="30" spans="1:7" ht="14.25" customHeight="1">
      <c r="A30" s="43" t="s">
        <v>81</v>
      </c>
      <c r="B30" s="403">
        <v>0</v>
      </c>
      <c r="C30" s="44">
        <f>VLOOKUP(B30,PCCVT!I19:J23,2)</f>
        <v>0</v>
      </c>
      <c r="D30" s="562"/>
      <c r="E30" s="43"/>
      <c r="F30" s="45"/>
      <c r="G30" s="44"/>
    </row>
    <row r="31" spans="1:7" ht="14.25" customHeight="1">
      <c r="A31" s="48" t="s">
        <v>82</v>
      </c>
      <c r="B31" s="45"/>
      <c r="C31" s="44">
        <f>C24-SUM(C26:C30)</f>
        <v>24286.5</v>
      </c>
      <c r="D31" s="562"/>
      <c r="E31" s="43"/>
      <c r="F31" s="43"/>
      <c r="G31" s="43"/>
    </row>
    <row r="32" spans="1:7" ht="14.25" customHeight="1">
      <c r="A32" s="43" t="s">
        <v>145</v>
      </c>
      <c r="B32" s="50">
        <v>0.45</v>
      </c>
      <c r="C32" s="325">
        <f>(C24-C33)*B32</f>
        <v>9309.825</v>
      </c>
      <c r="D32" s="562"/>
      <c r="E32" s="48"/>
      <c r="F32" s="45"/>
      <c r="G32" s="44"/>
    </row>
    <row r="33" spans="1:7" ht="14.25" customHeight="1">
      <c r="A33" s="43" t="s">
        <v>85</v>
      </c>
      <c r="B33" s="404">
        <v>0.2</v>
      </c>
      <c r="C33" s="325">
        <f>C15*B33</f>
        <v>3598</v>
      </c>
      <c r="D33" s="562"/>
      <c r="E33" s="48"/>
      <c r="F33" s="45"/>
      <c r="G33" s="44"/>
    </row>
    <row r="34" spans="1:13" s="155" customFormat="1" ht="14.25" customHeight="1">
      <c r="A34" s="126" t="s">
        <v>226</v>
      </c>
      <c r="B34" s="171">
        <v>0.2</v>
      </c>
      <c r="C34" s="28">
        <f>C16*B34</f>
        <v>719.6</v>
      </c>
      <c r="D34" s="562"/>
      <c r="E34" s="43"/>
      <c r="F34" s="177"/>
      <c r="G34" s="163"/>
      <c r="H34" s="333"/>
      <c r="K34" s="41"/>
      <c r="L34" s="41"/>
      <c r="M34" s="41"/>
    </row>
    <row r="35" spans="1:7" ht="14.25" customHeight="1">
      <c r="A35" s="43" t="s">
        <v>225</v>
      </c>
      <c r="B35" s="50">
        <v>0.05</v>
      </c>
      <c r="C35" s="325">
        <f>C16*B35</f>
        <v>179.9</v>
      </c>
      <c r="D35" s="562"/>
      <c r="E35" s="48"/>
      <c r="F35" s="45"/>
      <c r="G35" s="44"/>
    </row>
    <row r="36" spans="1:7" ht="14.25" customHeight="1">
      <c r="A36" s="504" t="s">
        <v>86</v>
      </c>
      <c r="B36" s="504"/>
      <c r="C36" s="184">
        <f>C31-C32-C33-C35</f>
        <v>11198.775</v>
      </c>
      <c r="D36" s="562"/>
      <c r="E36" s="504" t="s">
        <v>87</v>
      </c>
      <c r="F36" s="504"/>
      <c r="G36" s="638">
        <f>G15+G24+G25</f>
        <v>12010</v>
      </c>
    </row>
    <row r="37" spans="1:7" ht="14.25" customHeight="1">
      <c r="A37" s="137"/>
      <c r="B37" s="137"/>
      <c r="C37" s="137"/>
      <c r="D37" s="137"/>
      <c r="E37" s="137"/>
      <c r="F37" s="137"/>
      <c r="G37" s="405"/>
    </row>
    <row r="38" spans="1:7" ht="14.25" customHeight="1">
      <c r="A38" s="137"/>
      <c r="B38" s="137"/>
      <c r="C38" s="137"/>
      <c r="D38" s="137"/>
      <c r="E38" s="137"/>
      <c r="F38" s="137"/>
      <c r="G38" s="405"/>
    </row>
    <row r="39" spans="1:7" ht="14.25" customHeight="1">
      <c r="A39" s="583"/>
      <c r="B39" s="610" t="s">
        <v>90</v>
      </c>
      <c r="C39" s="610"/>
      <c r="D39" s="610"/>
      <c r="E39" s="406" t="s">
        <v>88</v>
      </c>
      <c r="F39" s="407" t="s">
        <v>89</v>
      </c>
      <c r="G39" s="408" t="s">
        <v>38</v>
      </c>
    </row>
    <row r="40" spans="1:7" ht="14.25" customHeight="1">
      <c r="A40" s="583"/>
      <c r="B40" s="611"/>
      <c r="C40" s="611"/>
      <c r="D40" s="611"/>
      <c r="E40" s="409">
        <f>C36</f>
        <v>11198.775</v>
      </c>
      <c r="F40" s="410">
        <f>G36</f>
        <v>12010</v>
      </c>
      <c r="G40" s="411">
        <f>SUM(E40:F40)</f>
        <v>23208.775</v>
      </c>
    </row>
    <row r="41" spans="1:7" s="155" customFormat="1" ht="14.25" customHeight="1">
      <c r="A41" s="583"/>
      <c r="B41" s="507" t="s">
        <v>146</v>
      </c>
      <c r="C41" s="507"/>
      <c r="D41" s="507"/>
      <c r="E41" s="412">
        <f>(E40+G16+G19)*0.18</f>
        <v>2082.3795</v>
      </c>
      <c r="F41" s="412">
        <f>(F40-G16-G19)*0.18</f>
        <v>2095.2</v>
      </c>
      <c r="G41" s="412">
        <f>SUM(E41:F41)</f>
        <v>4177.5795</v>
      </c>
    </row>
    <row r="42" spans="1:7" s="155" customFormat="1" ht="14.25" customHeight="1">
      <c r="A42" s="583"/>
      <c r="B42" s="611" t="s">
        <v>176</v>
      </c>
      <c r="C42" s="611"/>
      <c r="D42" s="611"/>
      <c r="E42" s="413">
        <f>SUM(E40:E41)</f>
        <v>13281.1545</v>
      </c>
      <c r="F42" s="413">
        <f>SUM(F40:F41)</f>
        <v>14105.2</v>
      </c>
      <c r="G42" s="411">
        <f>SUM(G40:G41)</f>
        <v>27386.3545</v>
      </c>
    </row>
    <row r="43" ht="14.25" customHeight="1">
      <c r="D43" s="155"/>
    </row>
    <row r="44" spans="1:3" ht="13.5">
      <c r="A44" s="502" t="s">
        <v>220</v>
      </c>
      <c r="B44" s="502"/>
      <c r="C44" s="27"/>
    </row>
    <row r="45" spans="1:3" ht="13.5">
      <c r="A45" s="390" t="s">
        <v>215</v>
      </c>
      <c r="B45" s="394" t="s">
        <v>216</v>
      </c>
      <c r="C45" s="27"/>
    </row>
    <row r="46" spans="1:3" ht="13.5">
      <c r="A46" s="385" t="s">
        <v>217</v>
      </c>
      <c r="B46" s="395">
        <v>0.1</v>
      </c>
      <c r="C46" s="27"/>
    </row>
    <row r="47" spans="1:3" ht="13.5">
      <c r="A47" s="385" t="s">
        <v>218</v>
      </c>
      <c r="B47" s="395">
        <v>0.2</v>
      </c>
      <c r="C47" s="27"/>
    </row>
    <row r="48" spans="1:3" ht="13.5">
      <c r="A48" s="385" t="s">
        <v>219</v>
      </c>
      <c r="B48" s="395">
        <v>0.3</v>
      </c>
      <c r="C48" s="27"/>
    </row>
    <row r="49" ht="14.25" customHeight="1">
      <c r="D49" s="155"/>
    </row>
    <row r="50" ht="14.25" customHeight="1" hidden="1"/>
    <row r="51" ht="14.25" customHeight="1" hidden="1"/>
    <row r="52" ht="14.25" customHeight="1" hidden="1"/>
    <row r="53" spans="1:2" ht="14.25" customHeight="1" hidden="1">
      <c r="A53" s="73" t="s">
        <v>92</v>
      </c>
      <c r="B53" s="73" t="s">
        <v>93</v>
      </c>
    </row>
    <row r="54" spans="1:2" ht="14.25" customHeight="1" hidden="1">
      <c r="A54" s="73" t="b">
        <f>IF(B18="Yes",IF(B54=0,4.5%,IF(B54=1,5.5%,IF(B54=2,7%,0))))</f>
        <v>0</v>
      </c>
      <c r="B54" s="74">
        <f ca="1">YEAR(TODAY())-(G6)</f>
        <v>5</v>
      </c>
    </row>
    <row r="55" ht="14.25" customHeight="1" hidden="1"/>
  </sheetData>
  <sheetProtection password="CEED" sheet="1"/>
  <mergeCells count="26">
    <mergeCell ref="A1:G1"/>
    <mergeCell ref="A2:G2"/>
    <mergeCell ref="I2:J3"/>
    <mergeCell ref="B3:G3"/>
    <mergeCell ref="B4:G4"/>
    <mergeCell ref="A5:G5"/>
    <mergeCell ref="A6:B6"/>
    <mergeCell ref="D6:D9"/>
    <mergeCell ref="E6:F6"/>
    <mergeCell ref="A7:B7"/>
    <mergeCell ref="E7:F7"/>
    <mergeCell ref="A8:B8"/>
    <mergeCell ref="E8:F8"/>
    <mergeCell ref="A9:B9"/>
    <mergeCell ref="A10:G10"/>
    <mergeCell ref="A11:C11"/>
    <mergeCell ref="D11:D36"/>
    <mergeCell ref="E11:G11"/>
    <mergeCell ref="A36:B36"/>
    <mergeCell ref="E36:F36"/>
    <mergeCell ref="A44:B44"/>
    <mergeCell ref="A39:A42"/>
    <mergeCell ref="B39:D39"/>
    <mergeCell ref="B40:D40"/>
    <mergeCell ref="B41:D41"/>
    <mergeCell ref="B42:D42"/>
  </mergeCells>
  <dataValidations count="9">
    <dataValidation type="list" allowBlank="1" showErrorMessage="1" sqref="F25">
      <formula1>"6000,750000"</formula1>
      <formula2>0</formula2>
    </dataValidation>
    <dataValidation type="list" allowBlank="1" showErrorMessage="1" sqref="B8 F16 B26:B29 F19 B17:B23">
      <formula1>"Yes,No"</formula1>
      <formula2>0</formula2>
    </dataValidation>
    <dataValidation type="list" allowBlank="1" showErrorMessage="1" sqref="B30">
      <formula1>"0,2500,5000,7500,15000"</formula1>
      <formula2>0</formula2>
    </dataValidation>
    <dataValidation type="list" allowBlank="1" showErrorMessage="1" sqref="B32">
      <formula1>"65%,50%,45%,35%,25%,20%,5%,0%"</formula1>
      <formula2>0</formula2>
    </dataValidation>
    <dataValidation type="list" allowBlank="1" showErrorMessage="1" sqref="B16">
      <formula1>"0%,10%,20%,30%,"</formula1>
    </dataValidation>
    <dataValidation type="list" allowBlank="1" showErrorMessage="1" sqref="G7">
      <formula1>"A,B"</formula1>
      <formula2>0</formula2>
    </dataValidation>
    <dataValidation type="list" allowBlank="1" showErrorMessage="1" sqref="F17">
      <formula1>"1,2,3,4,5,6"</formula1>
      <formula2>0</formula2>
    </dataValidation>
    <dataValidation type="list" allowBlank="1" showErrorMessage="1" sqref="B35">
      <formula1>"0%,5%"</formula1>
    </dataValidation>
    <dataValidation type="list" allowBlank="1" showErrorMessage="1" sqref="B34">
      <formula1>"0,20%"</formula1>
    </dataValidation>
  </dataValidations>
  <hyperlinks>
    <hyperlink ref="I2" location="HyperLink!A1" display="BACK"/>
  </hyperlinks>
  <printOptions/>
  <pageMargins left="0.45" right="0.2701388888888889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27">
      <selection activeCell="E35" sqref="E35"/>
    </sheetView>
  </sheetViews>
  <sheetFormatPr defaultColWidth="9.140625" defaultRowHeight="13.5" customHeight="1"/>
  <cols>
    <col min="1" max="1" width="27.140625" style="414" customWidth="1"/>
    <col min="2" max="2" width="7.421875" style="414" customWidth="1"/>
    <col min="3" max="3" width="11.8515625" style="414" customWidth="1"/>
    <col min="4" max="4" width="3.421875" style="414" customWidth="1"/>
    <col min="5" max="5" width="19.57421875" style="414" customWidth="1"/>
    <col min="6" max="6" width="8.57421875" style="414" customWidth="1"/>
    <col min="7" max="7" width="11.57421875" style="414" customWidth="1"/>
    <col min="8" max="8" width="4.421875" style="414" customWidth="1"/>
    <col min="9" max="10" width="6.7109375" style="414" customWidth="1"/>
    <col min="11" max="12" width="0" style="415" hidden="1" customWidth="1"/>
    <col min="13" max="16384" width="9.140625" style="414" customWidth="1"/>
  </cols>
  <sheetData>
    <row r="1" spans="1:7" ht="13.5" customHeight="1">
      <c r="A1" s="617" t="s">
        <v>0</v>
      </c>
      <c r="B1" s="617"/>
      <c r="C1" s="617"/>
      <c r="D1" s="617"/>
      <c r="E1" s="617"/>
      <c r="F1" s="617"/>
      <c r="G1" s="617"/>
    </row>
    <row r="2" spans="1:12" ht="13.5" customHeight="1">
      <c r="A2" s="594" t="s">
        <v>242</v>
      </c>
      <c r="B2" s="594"/>
      <c r="C2" s="594" t="s">
        <v>93</v>
      </c>
      <c r="D2" s="594"/>
      <c r="E2" s="594"/>
      <c r="F2" s="594"/>
      <c r="G2" s="594"/>
      <c r="J2" s="618" t="s">
        <v>28</v>
      </c>
      <c r="K2" s="415" t="s">
        <v>145</v>
      </c>
      <c r="L2" s="415" t="s">
        <v>171</v>
      </c>
    </row>
    <row r="3" spans="1:10" ht="13.5" customHeight="1">
      <c r="A3" s="416" t="s">
        <v>128</v>
      </c>
      <c r="B3" s="596"/>
      <c r="C3" s="596"/>
      <c r="D3" s="596"/>
      <c r="E3" s="596"/>
      <c r="F3" s="596"/>
      <c r="G3" s="596"/>
      <c r="J3" s="618"/>
    </row>
    <row r="4" spans="1:12" ht="13.5" customHeight="1">
      <c r="A4" s="416" t="s">
        <v>45</v>
      </c>
      <c r="B4" s="596"/>
      <c r="C4" s="596"/>
      <c r="D4" s="596"/>
      <c r="E4" s="596"/>
      <c r="F4" s="596"/>
      <c r="G4" s="596"/>
      <c r="K4" s="270">
        <f>C14+C15+C17-C27</f>
        <v>1397.3249999999998</v>
      </c>
      <c r="L4" s="270">
        <f>C14+C15+C16++C18+C19</f>
        <v>2073.45</v>
      </c>
    </row>
    <row r="5" spans="1:7" ht="13.5" customHeight="1">
      <c r="A5" s="591" t="s">
        <v>46</v>
      </c>
      <c r="B5" s="591"/>
      <c r="C5" s="591"/>
      <c r="D5" s="591"/>
      <c r="E5" s="591"/>
      <c r="F5" s="591"/>
      <c r="G5" s="591"/>
    </row>
    <row r="6" spans="1:7" ht="13.5" customHeight="1">
      <c r="A6" s="615" t="s">
        <v>148</v>
      </c>
      <c r="B6" s="615"/>
      <c r="C6" s="418">
        <v>100000</v>
      </c>
      <c r="D6" s="419"/>
      <c r="E6" s="615" t="s">
        <v>53</v>
      </c>
      <c r="F6" s="615"/>
      <c r="G6" s="420">
        <v>2016</v>
      </c>
    </row>
    <row r="7" spans="1:256" ht="13.5" customHeight="1">
      <c r="A7" s="615" t="s">
        <v>60</v>
      </c>
      <c r="B7" s="615"/>
      <c r="C7" s="418">
        <v>0</v>
      </c>
      <c r="D7" s="419"/>
      <c r="E7" s="615" t="s">
        <v>173</v>
      </c>
      <c r="F7" s="615"/>
      <c r="G7" s="420">
        <v>15</v>
      </c>
      <c r="K7" s="421"/>
      <c r="L7" s="421"/>
      <c r="IV7" s="421"/>
    </row>
    <row r="8" spans="1:256" s="185" customFormat="1" ht="13.5" customHeight="1">
      <c r="A8" s="615" t="s">
        <v>150</v>
      </c>
      <c r="B8" s="615"/>
      <c r="C8" s="418">
        <v>0</v>
      </c>
      <c r="D8" s="419"/>
      <c r="E8" s="616" t="s">
        <v>48</v>
      </c>
      <c r="F8" s="616"/>
      <c r="G8" s="268" t="s">
        <v>151</v>
      </c>
      <c r="K8" s="155"/>
      <c r="L8" s="155"/>
      <c r="IV8" s="155"/>
    </row>
    <row r="9" spans="1:12" ht="13.5" customHeight="1">
      <c r="A9" s="586" t="s">
        <v>152</v>
      </c>
      <c r="B9" s="586"/>
      <c r="C9" s="586"/>
      <c r="D9" s="586"/>
      <c r="E9" s="586"/>
      <c r="F9" s="586"/>
      <c r="G9" s="586"/>
      <c r="I9" s="185"/>
      <c r="J9" s="185"/>
      <c r="K9" s="269"/>
      <c r="L9" s="269"/>
    </row>
    <row r="10" spans="1:12" ht="13.5" customHeight="1">
      <c r="A10" s="555" t="s">
        <v>56</v>
      </c>
      <c r="B10" s="555"/>
      <c r="C10" s="555"/>
      <c r="D10" s="422"/>
      <c r="E10" s="555" t="s">
        <v>57</v>
      </c>
      <c r="F10" s="555"/>
      <c r="G10" s="555"/>
      <c r="I10" s="185"/>
      <c r="J10" s="185"/>
      <c r="K10" s="269"/>
      <c r="L10" s="269"/>
    </row>
    <row r="11" spans="1:12" ht="13.5" customHeight="1">
      <c r="A11" s="419" t="s">
        <v>153</v>
      </c>
      <c r="B11" s="423"/>
      <c r="C11" s="424">
        <f>Database1!G29</f>
        <v>1803</v>
      </c>
      <c r="D11" s="422"/>
      <c r="E11" s="419" t="s">
        <v>99</v>
      </c>
      <c r="F11" s="425"/>
      <c r="G11" s="424">
        <f>SUM(Database1!G30)</f>
        <v>6763</v>
      </c>
      <c r="I11" s="185"/>
      <c r="J11" s="185"/>
      <c r="K11" s="269"/>
      <c r="L11" s="269"/>
    </row>
    <row r="12" spans="1:12" ht="13.5" customHeight="1">
      <c r="A12" s="419" t="s">
        <v>60</v>
      </c>
      <c r="B12" s="425"/>
      <c r="C12" s="424">
        <f>C7*0.04</f>
        <v>0</v>
      </c>
      <c r="D12" s="422"/>
      <c r="E12" s="419" t="s">
        <v>156</v>
      </c>
      <c r="F12" s="425"/>
      <c r="G12" s="424">
        <f>IF(C8&gt;0,60,0)</f>
        <v>0</v>
      </c>
      <c r="I12" s="185"/>
      <c r="J12" s="185"/>
      <c r="K12" s="269"/>
      <c r="L12" s="269"/>
    </row>
    <row r="13" spans="1:12" ht="13.5" customHeight="1">
      <c r="A13" s="419" t="s">
        <v>108</v>
      </c>
      <c r="B13" s="425"/>
      <c r="C13" s="424">
        <f>IF(C8&gt;0,C8*4/100,0)</f>
        <v>0</v>
      </c>
      <c r="D13" s="422"/>
      <c r="E13" s="419" t="s">
        <v>174</v>
      </c>
      <c r="F13" s="425"/>
      <c r="G13" s="424">
        <f>G7*1349</f>
        <v>20235</v>
      </c>
      <c r="I13" s="185"/>
      <c r="J13" s="185"/>
      <c r="K13" s="269"/>
      <c r="L13" s="269"/>
    </row>
    <row r="14" spans="1:12" ht="13.5" customHeight="1">
      <c r="A14" s="426" t="s">
        <v>65</v>
      </c>
      <c r="B14" s="425"/>
      <c r="C14" s="424">
        <f>SUM(C11:C13)</f>
        <v>1803</v>
      </c>
      <c r="D14" s="422"/>
      <c r="E14" s="426" t="s">
        <v>157</v>
      </c>
      <c r="F14" s="427"/>
      <c r="G14" s="637">
        <f>G11+G12+G13</f>
        <v>26998</v>
      </c>
      <c r="I14" s="185"/>
      <c r="J14" s="185"/>
      <c r="K14" s="269"/>
      <c r="L14" s="269"/>
    </row>
    <row r="15" spans="1:12" ht="13.5" customHeight="1">
      <c r="A15" s="419" t="s">
        <v>158</v>
      </c>
      <c r="B15" s="268" t="s">
        <v>62</v>
      </c>
      <c r="C15" s="424">
        <f>IF(B15="Yes",(C11+C12+C13)*0.15,0)</f>
        <v>270.45</v>
      </c>
      <c r="D15" s="422"/>
      <c r="E15" s="419" t="s">
        <v>136</v>
      </c>
      <c r="F15" s="268" t="s">
        <v>62</v>
      </c>
      <c r="G15" s="424">
        <f>IF(F15="Yes",50*F16,0)</f>
        <v>50</v>
      </c>
      <c r="I15" s="185"/>
      <c r="J15" s="185"/>
      <c r="K15" s="269"/>
      <c r="L15" s="269"/>
    </row>
    <row r="16" spans="1:12" ht="13.5" customHeight="1">
      <c r="A16" s="267" t="s">
        <v>137</v>
      </c>
      <c r="B16" s="268" t="s">
        <v>37</v>
      </c>
      <c r="C16" s="265">
        <f>C6*A62/10</f>
        <v>0</v>
      </c>
      <c r="D16" s="422"/>
      <c r="E16" s="419" t="s">
        <v>175</v>
      </c>
      <c r="F16" s="268">
        <v>1</v>
      </c>
      <c r="G16" s="424"/>
      <c r="I16" s="185"/>
      <c r="J16" s="185"/>
      <c r="K16" s="269"/>
      <c r="L16" s="269"/>
    </row>
    <row r="17" spans="1:12" ht="13.5" customHeight="1">
      <c r="A17" s="160" t="s">
        <v>160</v>
      </c>
      <c r="B17" s="50">
        <v>0.2</v>
      </c>
      <c r="C17" s="164">
        <f>(C14)*B17</f>
        <v>360.6</v>
      </c>
      <c r="D17" s="422"/>
      <c r="E17" s="428" t="s">
        <v>135</v>
      </c>
      <c r="F17" s="268" t="s">
        <v>62</v>
      </c>
      <c r="G17" s="424">
        <f>IF(F17="Yes",320,0)</f>
        <v>320</v>
      </c>
      <c r="I17" s="185"/>
      <c r="J17" s="185"/>
      <c r="K17" s="269"/>
      <c r="L17" s="269"/>
    </row>
    <row r="18" spans="1:12" ht="13.5" customHeight="1">
      <c r="A18" s="419" t="s">
        <v>170</v>
      </c>
      <c r="B18" s="268" t="s">
        <v>37</v>
      </c>
      <c r="C18" s="424">
        <f>IF(B18="Yes",C14*0.3,0)</f>
        <v>0</v>
      </c>
      <c r="D18" s="422"/>
      <c r="E18" s="419" t="s">
        <v>70</v>
      </c>
      <c r="F18" s="425"/>
      <c r="G18" s="424"/>
      <c r="I18" s="185"/>
      <c r="J18" s="185"/>
      <c r="K18" s="269"/>
      <c r="L18" s="269"/>
    </row>
    <row r="19" spans="1:12" ht="13.5" customHeight="1">
      <c r="A19" s="419" t="s">
        <v>140</v>
      </c>
      <c r="B19" s="268" t="s">
        <v>37</v>
      </c>
      <c r="C19" s="424">
        <f>IF(B19="Yes",50,0)</f>
        <v>0</v>
      </c>
      <c r="D19" s="422"/>
      <c r="E19" s="419"/>
      <c r="F19" s="425"/>
      <c r="G19" s="424"/>
      <c r="I19" s="185"/>
      <c r="J19" s="185"/>
      <c r="K19" s="269"/>
      <c r="L19" s="269"/>
    </row>
    <row r="20" spans="1:12" ht="13.5" customHeight="1">
      <c r="A20" s="426" t="s">
        <v>142</v>
      </c>
      <c r="B20" s="425"/>
      <c r="C20" s="424">
        <f>SUM(C14:C19)</f>
        <v>2434.0499999999997</v>
      </c>
      <c r="D20" s="422"/>
      <c r="E20" s="426" t="s">
        <v>164</v>
      </c>
      <c r="F20" s="425"/>
      <c r="G20" s="637">
        <f>G15+G17</f>
        <v>370</v>
      </c>
      <c r="I20" s="185"/>
      <c r="J20" s="185"/>
      <c r="K20" s="269"/>
      <c r="L20" s="269"/>
    </row>
    <row r="21" spans="1:12" ht="13.5" customHeight="1">
      <c r="A21" s="419" t="s">
        <v>165</v>
      </c>
      <c r="B21" s="425"/>
      <c r="C21" s="424"/>
      <c r="D21" s="422"/>
      <c r="E21" s="419" t="s">
        <v>118</v>
      </c>
      <c r="F21" s="268">
        <v>750000</v>
      </c>
      <c r="G21" s="637">
        <f>IF(F21=750000,0,150)</f>
        <v>0</v>
      </c>
      <c r="I21" s="185"/>
      <c r="J21" s="185"/>
      <c r="K21" s="269"/>
      <c r="L21" s="269"/>
    </row>
    <row r="22" spans="1:12" ht="13.5" customHeight="1">
      <c r="A22" s="419" t="s">
        <v>117</v>
      </c>
      <c r="B22" s="268" t="s">
        <v>37</v>
      </c>
      <c r="C22" s="424">
        <f>IF(B22="Yes",MIN(C20*0.025,500),0)</f>
        <v>0</v>
      </c>
      <c r="D22" s="422"/>
      <c r="E22" s="419"/>
      <c r="F22" s="425"/>
      <c r="G22" s="424"/>
      <c r="I22" s="185"/>
      <c r="J22" s="185"/>
      <c r="K22" s="269"/>
      <c r="L22" s="269"/>
    </row>
    <row r="23" spans="1:12" ht="13.5" customHeight="1">
      <c r="A23" s="419" t="s">
        <v>79</v>
      </c>
      <c r="B23" s="268" t="s">
        <v>37</v>
      </c>
      <c r="C23" s="424">
        <f>IF(B23="Yes",MIN(C20*0.05,200),0)</f>
        <v>0</v>
      </c>
      <c r="D23" s="422"/>
      <c r="E23" s="419"/>
      <c r="F23" s="425"/>
      <c r="G23" s="424"/>
      <c r="I23" s="185"/>
      <c r="J23" s="185"/>
      <c r="K23" s="269"/>
      <c r="L23" s="269"/>
    </row>
    <row r="24" spans="1:12" s="185" customFormat="1" ht="13.5" customHeight="1">
      <c r="A24" s="419" t="s">
        <v>144</v>
      </c>
      <c r="B24" s="268" t="s">
        <v>37</v>
      </c>
      <c r="C24" s="424">
        <f>IF(B24="Yes",C20*(1/3),0)</f>
        <v>0</v>
      </c>
      <c r="D24" s="422"/>
      <c r="E24" s="419"/>
      <c r="F24" s="425"/>
      <c r="G24" s="424"/>
      <c r="K24" s="269"/>
      <c r="L24" s="269"/>
    </row>
    <row r="25" spans="1:7" ht="13.5" customHeight="1">
      <c r="A25" s="426" t="s">
        <v>166</v>
      </c>
      <c r="B25" s="425"/>
      <c r="C25" s="424">
        <f>C20-SUM(C22:C24)</f>
        <v>2434.0499999999997</v>
      </c>
      <c r="D25" s="422"/>
      <c r="E25" s="419"/>
      <c r="F25" s="425"/>
      <c r="G25" s="424"/>
    </row>
    <row r="26" spans="1:7" ht="13.5" customHeight="1">
      <c r="A26" s="419" t="s">
        <v>145</v>
      </c>
      <c r="B26" s="429">
        <v>0.25</v>
      </c>
      <c r="C26" s="424">
        <f>K4*B26</f>
        <v>349.33124999999995</v>
      </c>
      <c r="D26" s="422"/>
      <c r="E26" s="426"/>
      <c r="F26" s="425"/>
      <c r="G26" s="424"/>
    </row>
    <row r="27" spans="1:7" ht="13.5" customHeight="1">
      <c r="A27" s="43" t="s">
        <v>85</v>
      </c>
      <c r="B27" s="430">
        <v>0.5</v>
      </c>
      <c r="C27" s="424">
        <f>L4*B27</f>
        <v>1036.725</v>
      </c>
      <c r="D27" s="422"/>
      <c r="E27" s="426"/>
      <c r="F27" s="425"/>
      <c r="G27" s="424"/>
    </row>
    <row r="28" spans="1:13" s="155" customFormat="1" ht="14.25" customHeight="1">
      <c r="A28" s="126" t="s">
        <v>226</v>
      </c>
      <c r="B28" s="171">
        <v>0.2</v>
      </c>
      <c r="C28" s="28">
        <f>C17*B28</f>
        <v>72.12</v>
      </c>
      <c r="D28" s="422"/>
      <c r="E28" s="43"/>
      <c r="F28" s="177"/>
      <c r="G28" s="163"/>
      <c r="H28" s="333"/>
      <c r="K28" s="41"/>
      <c r="L28" s="41"/>
      <c r="M28" s="41"/>
    </row>
    <row r="29" spans="1:7" ht="13.5" customHeight="1">
      <c r="A29" s="43" t="s">
        <v>225</v>
      </c>
      <c r="B29" s="50">
        <v>0.05</v>
      </c>
      <c r="C29" s="424">
        <f>C17*B29</f>
        <v>18.03</v>
      </c>
      <c r="D29" s="422"/>
      <c r="E29" s="426"/>
      <c r="F29" s="425"/>
      <c r="G29" s="424"/>
    </row>
    <row r="30" spans="1:7" ht="13.5" customHeight="1">
      <c r="A30" s="555" t="s">
        <v>86</v>
      </c>
      <c r="B30" s="555"/>
      <c r="C30" s="273">
        <f>C25-C26-C27-C29</f>
        <v>1029.9637500000001</v>
      </c>
      <c r="D30" s="422"/>
      <c r="E30" s="555" t="s">
        <v>87</v>
      </c>
      <c r="F30" s="555"/>
      <c r="G30" s="164">
        <f>G14+G20+G21</f>
        <v>27368</v>
      </c>
    </row>
    <row r="31" spans="4:7" ht="13.5" customHeight="1">
      <c r="D31" s="431"/>
      <c r="E31" s="432"/>
      <c r="F31" s="431"/>
      <c r="G31" s="433"/>
    </row>
    <row r="32" spans="1:12" s="434" customFormat="1" ht="13.5" customHeight="1">
      <c r="A32" s="431"/>
      <c r="B32" s="431"/>
      <c r="C32" s="431"/>
      <c r="D32" s="431"/>
      <c r="E32" s="432"/>
      <c r="F32" s="431"/>
      <c r="G32" s="433"/>
      <c r="K32" s="435"/>
      <c r="L32" s="435"/>
    </row>
    <row r="33" spans="1:7" ht="13.5" customHeight="1">
      <c r="A33" s="613"/>
      <c r="B33" s="591" t="s">
        <v>90</v>
      </c>
      <c r="C33" s="591"/>
      <c r="D33" s="591"/>
      <c r="E33" s="436" t="s">
        <v>88</v>
      </c>
      <c r="F33" s="437" t="s">
        <v>89</v>
      </c>
      <c r="G33" s="417" t="s">
        <v>38</v>
      </c>
    </row>
    <row r="34" spans="1:7" ht="13.5" customHeight="1">
      <c r="A34" s="613"/>
      <c r="B34" s="591"/>
      <c r="C34" s="591"/>
      <c r="D34" s="591"/>
      <c r="E34" s="438">
        <f>C30</f>
        <v>1029.9637500000001</v>
      </c>
      <c r="F34" s="424">
        <f>G30</f>
        <v>27368</v>
      </c>
      <c r="G34" s="439">
        <f>SUM(E34:F34)</f>
        <v>28397.96375</v>
      </c>
    </row>
    <row r="35" spans="1:7" ht="13.5" customHeight="1">
      <c r="A35" s="613"/>
      <c r="B35" s="504" t="s">
        <v>91</v>
      </c>
      <c r="C35" s="504"/>
      <c r="D35" s="504"/>
      <c r="E35" s="440">
        <f>E34*0.18</f>
        <v>185.39347500000002</v>
      </c>
      <c r="F35" s="440">
        <f>F34*0.18</f>
        <v>4926.24</v>
      </c>
      <c r="G35" s="440">
        <f>SUM(E35:F35)</f>
        <v>5111.633475</v>
      </c>
    </row>
    <row r="36" spans="1:7" ht="13.5" customHeight="1">
      <c r="A36" s="613"/>
      <c r="B36" s="614" t="s">
        <v>176</v>
      </c>
      <c r="C36" s="614"/>
      <c r="D36" s="614"/>
      <c r="E36" s="441">
        <f>SUM(E34:E35)</f>
        <v>1215.3572250000002</v>
      </c>
      <c r="F36" s="441">
        <f>SUM(F34:F35)</f>
        <v>32294.239999999998</v>
      </c>
      <c r="G36" s="442">
        <f>SUM(G34:G35)</f>
        <v>33509.597225</v>
      </c>
    </row>
    <row r="37" ht="13.5" customHeight="1">
      <c r="G37" s="443"/>
    </row>
    <row r="38" spans="1:3" s="26" customFormat="1" ht="13.5">
      <c r="A38" s="532" t="s">
        <v>220</v>
      </c>
      <c r="B38" s="532"/>
      <c r="C38" s="27"/>
    </row>
    <row r="39" spans="1:3" s="26" customFormat="1" ht="13.5">
      <c r="A39" s="385" t="s">
        <v>215</v>
      </c>
      <c r="B39" s="385" t="s">
        <v>216</v>
      </c>
      <c r="C39" s="27"/>
    </row>
    <row r="40" spans="1:3" s="26" customFormat="1" ht="13.5">
      <c r="A40" s="385" t="s">
        <v>217</v>
      </c>
      <c r="B40" s="386">
        <v>0.1</v>
      </c>
      <c r="C40" s="27"/>
    </row>
    <row r="41" spans="1:3" s="26" customFormat="1" ht="13.5">
      <c r="A41" s="385" t="s">
        <v>218</v>
      </c>
      <c r="B41" s="386">
        <v>0.2</v>
      </c>
      <c r="C41" s="27"/>
    </row>
    <row r="42" spans="1:3" s="26" customFormat="1" ht="13.5">
      <c r="A42" s="385" t="s">
        <v>219</v>
      </c>
      <c r="B42" s="386">
        <v>0.3</v>
      </c>
      <c r="C42" s="27"/>
    </row>
    <row r="43" ht="13.5" customHeight="1">
      <c r="E43" s="444"/>
    </row>
    <row r="58" ht="13.5" customHeight="1" hidden="1"/>
    <row r="59" ht="13.5" customHeight="1" hidden="1"/>
    <row r="60" ht="13.5" customHeight="1" hidden="1"/>
    <row r="61" spans="1:2" ht="13.5" customHeight="1" hidden="1">
      <c r="A61" s="73" t="s">
        <v>92</v>
      </c>
      <c r="B61" s="73" t="s">
        <v>93</v>
      </c>
    </row>
    <row r="62" spans="1:2" ht="13.5" customHeight="1" hidden="1">
      <c r="A62" s="73" t="b">
        <f>IF(B16="Yes",IF(B62=0,4.5%,IF(B62=1,5.5%,IF(B62=2,7%,0))))</f>
        <v>0</v>
      </c>
      <c r="B62" s="74">
        <f ca="1">YEAR(TODAY())-(G6)</f>
        <v>6</v>
      </c>
    </row>
    <row r="63" ht="13.5" customHeight="1" hidden="1"/>
  </sheetData>
  <sheetProtection password="CEED" sheet="1"/>
  <mergeCells count="23">
    <mergeCell ref="A1:G1"/>
    <mergeCell ref="A2:G2"/>
    <mergeCell ref="J2:J3"/>
    <mergeCell ref="B3:G3"/>
    <mergeCell ref="B4:G4"/>
    <mergeCell ref="A5:G5"/>
    <mergeCell ref="B36:D36"/>
    <mergeCell ref="A6:B6"/>
    <mergeCell ref="E6:F6"/>
    <mergeCell ref="A7:B7"/>
    <mergeCell ref="E7:F7"/>
    <mergeCell ref="A8:B8"/>
    <mergeCell ref="E8:F8"/>
    <mergeCell ref="A38:B38"/>
    <mergeCell ref="A9:G9"/>
    <mergeCell ref="A10:C10"/>
    <mergeCell ref="E10:G10"/>
    <mergeCell ref="A30:B30"/>
    <mergeCell ref="E30:F30"/>
    <mergeCell ref="A33:A36"/>
    <mergeCell ref="B33:D33"/>
    <mergeCell ref="B34:D34"/>
    <mergeCell ref="B35:D35"/>
  </mergeCells>
  <dataValidations count="8">
    <dataValidation type="list" allowBlank="1" showErrorMessage="1" sqref="B15:B16 F15 F17 B18:B19 B22:B24">
      <formula1>"Yes,No"</formula1>
      <formula2>0</formula2>
    </dataValidation>
    <dataValidation type="list" allowBlank="1" showErrorMessage="1" sqref="B26">
      <formula1>"0%,20%,25%,35%,45%,50%,"</formula1>
      <formula2>0</formula2>
    </dataValidation>
    <dataValidation type="list" allowBlank="1" showErrorMessage="1" sqref="F21">
      <formula1>"750000,6000"</formula1>
      <formula2>0</formula2>
    </dataValidation>
    <dataValidation type="list" allowBlank="1" showErrorMessage="1" sqref="G8">
      <formula1>"A,B,C"</formula1>
      <formula2>0</formula2>
    </dataValidation>
    <dataValidation type="list" allowBlank="1" showErrorMessage="1" sqref="G7">
      <formula1>"7,8,9,10,11,12,13,14,15,16,17,18"</formula1>
      <formula2>0</formula2>
    </dataValidation>
    <dataValidation type="list" allowBlank="1" showErrorMessage="1" sqref="B17">
      <formula1>"0%,10%,20%,30%,"</formula1>
    </dataValidation>
    <dataValidation type="list" allowBlank="1" showErrorMessage="1" sqref="B29">
      <formula1>"0%,5%"</formula1>
    </dataValidation>
    <dataValidation type="list" allowBlank="1" showErrorMessage="1" sqref="B28">
      <formula1>"0,20%"</formula1>
    </dataValidation>
  </dataValidations>
  <hyperlinks>
    <hyperlink ref="J2" location="HyperLink!A1" display="BACK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2" sqref="B12"/>
    </sheetView>
  </sheetViews>
  <sheetFormatPr defaultColWidth="22.421875" defaultRowHeight="21" customHeight="1"/>
  <cols>
    <col min="1" max="1" width="61.8515625" style="12" customWidth="1"/>
    <col min="2" max="2" width="10.7109375" style="12" customWidth="1"/>
    <col min="3" max="3" width="15.8515625" style="12" customWidth="1"/>
    <col min="4" max="4" width="9.28125" style="12" customWidth="1"/>
    <col min="5" max="5" width="5.8515625" style="12" customWidth="1"/>
    <col min="6" max="6" width="5.28125" style="12" customWidth="1"/>
    <col min="7" max="16384" width="22.421875" style="12" customWidth="1"/>
  </cols>
  <sheetData>
    <row r="1" spans="1:3" ht="21" customHeight="1">
      <c r="A1" s="496" t="s">
        <v>27</v>
      </c>
      <c r="B1" s="496"/>
      <c r="C1" s="496"/>
    </row>
    <row r="2" spans="1:6" ht="21" customHeight="1">
      <c r="A2" s="497"/>
      <c r="B2" s="497"/>
      <c r="C2" s="497"/>
      <c r="E2" s="498" t="s">
        <v>28</v>
      </c>
      <c r="F2" s="498"/>
    </row>
    <row r="3" spans="1:6" ht="21" customHeight="1">
      <c r="A3" s="499" t="s">
        <v>29</v>
      </c>
      <c r="B3" s="499"/>
      <c r="C3" s="499"/>
      <c r="E3" s="498"/>
      <c r="F3" s="498"/>
    </row>
    <row r="4" spans="1:3" ht="21" customHeight="1">
      <c r="A4" s="13" t="s">
        <v>30</v>
      </c>
      <c r="B4" s="14"/>
      <c r="C4" s="15">
        <v>3000</v>
      </c>
    </row>
    <row r="5" spans="1:3" ht="21" customHeight="1">
      <c r="A5" s="16" t="s">
        <v>31</v>
      </c>
      <c r="B5" s="14"/>
      <c r="C5" s="17">
        <v>44926</v>
      </c>
    </row>
    <row r="6" spans="1:3" ht="21" customHeight="1">
      <c r="A6" s="18" t="s">
        <v>32</v>
      </c>
      <c r="B6" s="14"/>
      <c r="C6" s="19">
        <f ca="1">TODAY()</f>
        <v>44796</v>
      </c>
    </row>
    <row r="7" spans="1:3" ht="21" customHeight="1">
      <c r="A7" s="18" t="s">
        <v>33</v>
      </c>
      <c r="B7" s="14"/>
      <c r="C7" s="20">
        <f>C5-C6</f>
        <v>130</v>
      </c>
    </row>
    <row r="8" spans="1:3" ht="21" customHeight="1">
      <c r="A8" s="18" t="s">
        <v>34</v>
      </c>
      <c r="B8" s="14"/>
      <c r="C8" s="21">
        <f>C4/365*C7</f>
        <v>1068.4931506849316</v>
      </c>
    </row>
    <row r="9" spans="1:3" ht="21" customHeight="1">
      <c r="A9" s="18" t="s">
        <v>35</v>
      </c>
      <c r="B9" s="14"/>
      <c r="C9" s="21">
        <v>50</v>
      </c>
    </row>
    <row r="10" spans="1:3" ht="21" customHeight="1">
      <c r="A10" s="18" t="s">
        <v>36</v>
      </c>
      <c r="B10" s="22" t="s">
        <v>37</v>
      </c>
      <c r="C10" s="23">
        <f>IF(B10="Yes",50,0)</f>
        <v>0</v>
      </c>
    </row>
    <row r="11" spans="1:3" ht="21" customHeight="1">
      <c r="A11" s="18" t="s">
        <v>38</v>
      </c>
      <c r="B11" s="14"/>
      <c r="C11" s="21">
        <f>SUM(C8:C10)</f>
        <v>1118.4931506849316</v>
      </c>
    </row>
    <row r="12" spans="1:3" ht="21" customHeight="1">
      <c r="A12" s="24" t="s">
        <v>39</v>
      </c>
      <c r="B12" s="477">
        <v>0.18</v>
      </c>
      <c r="C12" s="21">
        <f>C11*B12</f>
        <v>201.3287671232877</v>
      </c>
    </row>
    <row r="13" spans="1:3" ht="21" customHeight="1">
      <c r="A13" s="18" t="s">
        <v>40</v>
      </c>
      <c r="B13" s="14"/>
      <c r="C13" s="25">
        <f>SUM(C11:C12)</f>
        <v>1319.8219178082193</v>
      </c>
    </row>
    <row r="14" spans="1:3" ht="39" customHeight="1">
      <c r="A14" s="500" t="s">
        <v>41</v>
      </c>
      <c r="B14" s="500"/>
      <c r="C14" s="500"/>
    </row>
    <row r="15" spans="1:3" ht="27" customHeight="1">
      <c r="A15" s="501" t="s">
        <v>42</v>
      </c>
      <c r="B15" s="501"/>
      <c r="C15" s="501"/>
    </row>
  </sheetData>
  <sheetProtection password="CEED" sheet="1"/>
  <mergeCells count="6">
    <mergeCell ref="A1:C1"/>
    <mergeCell ref="A2:C2"/>
    <mergeCell ref="E2:F3"/>
    <mergeCell ref="A3:C3"/>
    <mergeCell ref="A14:C14"/>
    <mergeCell ref="A15:C15"/>
  </mergeCells>
  <dataValidations count="1">
    <dataValidation type="list" allowBlank="1" showErrorMessage="1" sqref="B10">
      <formula1>"Yes,No"</formula1>
      <formula2>0</formula2>
    </dataValidation>
  </dataValidations>
  <hyperlinks>
    <hyperlink ref="E2" location="HyperLink!A1" display="BACK"/>
  </hyperlink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9">
      <selection activeCell="G16" sqref="G16"/>
    </sheetView>
  </sheetViews>
  <sheetFormatPr defaultColWidth="9.140625" defaultRowHeight="13.5" customHeight="1"/>
  <cols>
    <col min="1" max="1" width="27.140625" style="414" customWidth="1"/>
    <col min="2" max="2" width="7.421875" style="414" customWidth="1"/>
    <col min="3" max="3" width="11.8515625" style="414" customWidth="1"/>
    <col min="4" max="4" width="3.421875" style="414" customWidth="1"/>
    <col min="5" max="5" width="19.57421875" style="414" customWidth="1"/>
    <col min="6" max="6" width="8.57421875" style="414" customWidth="1"/>
    <col min="7" max="7" width="11.57421875" style="414" customWidth="1"/>
    <col min="8" max="8" width="4.421875" style="414" customWidth="1"/>
    <col min="9" max="10" width="6.7109375" style="414" customWidth="1"/>
    <col min="11" max="12" width="0" style="415" hidden="1" customWidth="1"/>
    <col min="13" max="16384" width="9.140625" style="414" customWidth="1"/>
  </cols>
  <sheetData>
    <row r="1" spans="1:10" ht="13.5" customHeight="1">
      <c r="A1" s="617" t="s">
        <v>0</v>
      </c>
      <c r="B1" s="617"/>
      <c r="C1" s="617"/>
      <c r="D1" s="617"/>
      <c r="E1" s="617"/>
      <c r="F1" s="617"/>
      <c r="G1" s="617"/>
      <c r="J1" s="619" t="s">
        <v>28</v>
      </c>
    </row>
    <row r="2" spans="1:12" ht="13.5" customHeight="1">
      <c r="A2" s="594" t="s">
        <v>242</v>
      </c>
      <c r="B2" s="594"/>
      <c r="C2" s="594" t="s">
        <v>93</v>
      </c>
      <c r="D2" s="594"/>
      <c r="E2" s="594"/>
      <c r="F2" s="594"/>
      <c r="G2" s="594"/>
      <c r="J2" s="619"/>
      <c r="K2" s="415" t="s">
        <v>145</v>
      </c>
      <c r="L2" s="415" t="s">
        <v>171</v>
      </c>
    </row>
    <row r="3" spans="1:10" ht="13.5" customHeight="1">
      <c r="A3" s="416" t="s">
        <v>128</v>
      </c>
      <c r="B3" s="596"/>
      <c r="C3" s="596"/>
      <c r="D3" s="596"/>
      <c r="E3" s="596"/>
      <c r="F3" s="596"/>
      <c r="G3" s="596"/>
      <c r="J3"/>
    </row>
    <row r="4" spans="1:12" ht="13.5" customHeight="1">
      <c r="A4" s="416" t="s">
        <v>45</v>
      </c>
      <c r="B4" s="596"/>
      <c r="C4" s="596"/>
      <c r="D4" s="596"/>
      <c r="E4" s="596"/>
      <c r="F4" s="596"/>
      <c r="G4" s="596"/>
      <c r="K4" s="270">
        <f>C14+C15+C17-C27</f>
        <v>1397.3249999999998</v>
      </c>
      <c r="L4" s="270">
        <f>C14+C15+C16++C18+C19</f>
        <v>2073.45</v>
      </c>
    </row>
    <row r="5" spans="1:7" ht="13.5" customHeight="1">
      <c r="A5" s="591" t="s">
        <v>46</v>
      </c>
      <c r="B5" s="591"/>
      <c r="C5" s="591"/>
      <c r="D5" s="591"/>
      <c r="E5" s="591"/>
      <c r="F5" s="591"/>
      <c r="G5" s="591"/>
    </row>
    <row r="6" spans="1:7" ht="13.5" customHeight="1">
      <c r="A6" s="615" t="s">
        <v>148</v>
      </c>
      <c r="B6" s="615"/>
      <c r="C6" s="418">
        <v>100000</v>
      </c>
      <c r="D6" s="419"/>
      <c r="E6" s="615" t="s">
        <v>53</v>
      </c>
      <c r="F6" s="615"/>
      <c r="G6" s="420">
        <v>2016</v>
      </c>
    </row>
    <row r="7" spans="1:256" ht="13.5" customHeight="1">
      <c r="A7" s="615" t="s">
        <v>60</v>
      </c>
      <c r="B7" s="615"/>
      <c r="C7" s="418">
        <v>0</v>
      </c>
      <c r="D7" s="419"/>
      <c r="E7" s="615" t="s">
        <v>173</v>
      </c>
      <c r="F7" s="615"/>
      <c r="G7" s="420">
        <v>30</v>
      </c>
      <c r="K7" s="421"/>
      <c r="L7" s="421"/>
      <c r="IV7" s="421"/>
    </row>
    <row r="8" spans="1:256" s="185" customFormat="1" ht="13.5" customHeight="1">
      <c r="A8" s="615" t="s">
        <v>150</v>
      </c>
      <c r="B8" s="615"/>
      <c r="C8" s="418">
        <v>0</v>
      </c>
      <c r="D8" s="419"/>
      <c r="E8" s="616" t="s">
        <v>48</v>
      </c>
      <c r="F8" s="616"/>
      <c r="G8" s="268" t="s">
        <v>151</v>
      </c>
      <c r="K8" s="155"/>
      <c r="L8" s="155"/>
      <c r="IV8" s="155"/>
    </row>
    <row r="9" spans="1:12" ht="13.5" customHeight="1">
      <c r="A9" s="586" t="s">
        <v>152</v>
      </c>
      <c r="B9" s="586"/>
      <c r="C9" s="586"/>
      <c r="D9" s="586"/>
      <c r="E9" s="586"/>
      <c r="F9" s="586"/>
      <c r="G9" s="586"/>
      <c r="I9" s="185"/>
      <c r="J9" s="185"/>
      <c r="K9" s="269"/>
      <c r="L9" s="269"/>
    </row>
    <row r="10" spans="1:12" ht="13.5" customHeight="1">
      <c r="A10" s="555" t="s">
        <v>56</v>
      </c>
      <c r="B10" s="555"/>
      <c r="C10" s="555"/>
      <c r="D10" s="422"/>
      <c r="E10" s="555" t="s">
        <v>57</v>
      </c>
      <c r="F10" s="555"/>
      <c r="G10" s="555"/>
      <c r="I10" s="185"/>
      <c r="J10" s="185"/>
      <c r="K10" s="269"/>
      <c r="L10" s="269"/>
    </row>
    <row r="11" spans="1:12" ht="13.5" customHeight="1">
      <c r="A11" s="419" t="s">
        <v>153</v>
      </c>
      <c r="B11" s="423"/>
      <c r="C11" s="424">
        <f>Database1!G29</f>
        <v>1803</v>
      </c>
      <c r="D11" s="422"/>
      <c r="E11" s="419" t="s">
        <v>99</v>
      </c>
      <c r="F11" s="425"/>
      <c r="G11" s="424">
        <f>SUM(Database1!G30)</f>
        <v>6763</v>
      </c>
      <c r="I11" s="185"/>
      <c r="J11" s="185"/>
      <c r="K11" s="269"/>
      <c r="L11" s="269"/>
    </row>
    <row r="12" spans="1:12" ht="13.5" customHeight="1">
      <c r="A12" s="419" t="s">
        <v>60</v>
      </c>
      <c r="B12" s="425"/>
      <c r="C12" s="424">
        <f>C7*0.04</f>
        <v>0</v>
      </c>
      <c r="D12" s="422"/>
      <c r="E12" s="419" t="s">
        <v>156</v>
      </c>
      <c r="F12" s="425"/>
      <c r="G12" s="424">
        <f>IF(C8&gt;0,60,0)</f>
        <v>0</v>
      </c>
      <c r="I12" s="185"/>
      <c r="J12" s="185"/>
      <c r="K12" s="269"/>
      <c r="L12" s="269"/>
    </row>
    <row r="13" spans="1:12" ht="13.5" customHeight="1">
      <c r="A13" s="419" t="s">
        <v>108</v>
      </c>
      <c r="B13" s="425"/>
      <c r="C13" s="424">
        <f>IF(C8&gt;0,C8*4/100,0)</f>
        <v>0</v>
      </c>
      <c r="D13" s="422"/>
      <c r="E13" s="419" t="s">
        <v>174</v>
      </c>
      <c r="F13" s="425"/>
      <c r="G13" s="424">
        <f>G7*948</f>
        <v>28440</v>
      </c>
      <c r="I13" s="185"/>
      <c r="J13" s="185"/>
      <c r="K13" s="269"/>
      <c r="L13" s="269"/>
    </row>
    <row r="14" spans="1:12" ht="13.5" customHeight="1">
      <c r="A14" s="426" t="s">
        <v>65</v>
      </c>
      <c r="B14" s="425"/>
      <c r="C14" s="424">
        <f>SUM(C11:C13)</f>
        <v>1803</v>
      </c>
      <c r="D14" s="422"/>
      <c r="E14" s="426" t="s">
        <v>157</v>
      </c>
      <c r="F14" s="427"/>
      <c r="G14" s="637">
        <f>G11+G12+G13</f>
        <v>35203</v>
      </c>
      <c r="I14" s="185"/>
      <c r="J14" s="185"/>
      <c r="K14" s="269"/>
      <c r="L14" s="269"/>
    </row>
    <row r="15" spans="1:12" ht="13.5" customHeight="1">
      <c r="A15" s="419" t="s">
        <v>158</v>
      </c>
      <c r="B15" s="268" t="s">
        <v>62</v>
      </c>
      <c r="C15" s="424">
        <f>IF(B15="Yes",(C11+C12+C13)*0.15,0)</f>
        <v>270.45</v>
      </c>
      <c r="D15" s="422"/>
      <c r="E15" s="419" t="s">
        <v>136</v>
      </c>
      <c r="F15" s="268" t="s">
        <v>62</v>
      </c>
      <c r="G15" s="424">
        <f>IF(F15="Yes",50*F16,0)</f>
        <v>50</v>
      </c>
      <c r="I15" s="185"/>
      <c r="J15" s="185"/>
      <c r="K15" s="269"/>
      <c r="L15" s="269"/>
    </row>
    <row r="16" spans="1:12" ht="13.5" customHeight="1">
      <c r="A16" s="267" t="s">
        <v>137</v>
      </c>
      <c r="B16" s="268" t="s">
        <v>37</v>
      </c>
      <c r="C16" s="265">
        <f>C6*A62/10</f>
        <v>0</v>
      </c>
      <c r="D16" s="422"/>
      <c r="E16" s="419" t="s">
        <v>175</v>
      </c>
      <c r="F16" s="268">
        <v>1</v>
      </c>
      <c r="G16" s="424"/>
      <c r="I16" s="185"/>
      <c r="J16" s="185"/>
      <c r="K16" s="269"/>
      <c r="L16" s="269"/>
    </row>
    <row r="17" spans="1:12" ht="13.5" customHeight="1">
      <c r="A17" s="160" t="s">
        <v>160</v>
      </c>
      <c r="B17" s="50">
        <v>0.2</v>
      </c>
      <c r="C17" s="164">
        <f>(C14)*B17</f>
        <v>360.6</v>
      </c>
      <c r="D17" s="422"/>
      <c r="E17" s="428" t="s">
        <v>135</v>
      </c>
      <c r="F17" s="268" t="s">
        <v>62</v>
      </c>
      <c r="G17" s="424">
        <f>IF(F17="Yes",320,0)</f>
        <v>320</v>
      </c>
      <c r="I17" s="185"/>
      <c r="J17" s="185"/>
      <c r="K17" s="269"/>
      <c r="L17" s="269"/>
    </row>
    <row r="18" spans="1:12" ht="13.5" customHeight="1">
      <c r="A18" s="419" t="s">
        <v>170</v>
      </c>
      <c r="B18" s="268" t="s">
        <v>37</v>
      </c>
      <c r="C18" s="424">
        <f>IF(B18="Yes",C14*0.3,0)</f>
        <v>0</v>
      </c>
      <c r="D18" s="422"/>
      <c r="E18" s="419" t="s">
        <v>70</v>
      </c>
      <c r="F18" s="425"/>
      <c r="G18" s="424"/>
      <c r="I18" s="185"/>
      <c r="J18" s="185"/>
      <c r="K18" s="269"/>
      <c r="L18" s="269"/>
    </row>
    <row r="19" spans="1:12" ht="13.5" customHeight="1">
      <c r="A19" s="419" t="s">
        <v>140</v>
      </c>
      <c r="B19" s="268" t="s">
        <v>37</v>
      </c>
      <c r="C19" s="424">
        <f>IF(B19="Yes",50,0)</f>
        <v>0</v>
      </c>
      <c r="D19" s="422"/>
      <c r="E19" s="419"/>
      <c r="F19" s="425"/>
      <c r="G19" s="424"/>
      <c r="I19" s="185"/>
      <c r="J19" s="185"/>
      <c r="K19" s="269"/>
      <c r="L19" s="269"/>
    </row>
    <row r="20" spans="1:12" ht="13.5" customHeight="1">
      <c r="A20" s="426" t="s">
        <v>142</v>
      </c>
      <c r="B20" s="425"/>
      <c r="C20" s="424">
        <f>SUM(C14:C19)</f>
        <v>2434.0499999999997</v>
      </c>
      <c r="D20" s="422"/>
      <c r="E20" s="426" t="s">
        <v>164</v>
      </c>
      <c r="F20" s="425"/>
      <c r="G20" s="424">
        <f>G15+G16+G17</f>
        <v>370</v>
      </c>
      <c r="I20" s="185"/>
      <c r="J20" s="185"/>
      <c r="K20" s="269"/>
      <c r="L20" s="269"/>
    </row>
    <row r="21" spans="1:12" ht="13.5" customHeight="1">
      <c r="A21" s="419" t="s">
        <v>165</v>
      </c>
      <c r="B21" s="425"/>
      <c r="C21" s="424"/>
      <c r="D21" s="422"/>
      <c r="E21" s="419" t="s">
        <v>118</v>
      </c>
      <c r="F21" s="268">
        <v>750000</v>
      </c>
      <c r="G21" s="637">
        <f>IF(F21=750000,0,150)</f>
        <v>0</v>
      </c>
      <c r="I21" s="185"/>
      <c r="J21" s="185"/>
      <c r="K21" s="269"/>
      <c r="L21" s="269"/>
    </row>
    <row r="22" spans="1:12" ht="13.5" customHeight="1">
      <c r="A22" s="419" t="s">
        <v>117</v>
      </c>
      <c r="B22" s="268" t="s">
        <v>37</v>
      </c>
      <c r="C22" s="424">
        <f>IF(B22="Yes",MIN(C20*0.025,500),0)</f>
        <v>0</v>
      </c>
      <c r="D22" s="422"/>
      <c r="E22" s="419"/>
      <c r="F22" s="425"/>
      <c r="G22" s="424"/>
      <c r="I22" s="185"/>
      <c r="J22" s="185"/>
      <c r="K22" s="269"/>
      <c r="L22" s="269"/>
    </row>
    <row r="23" spans="1:12" ht="13.5" customHeight="1">
      <c r="A23" s="419" t="s">
        <v>79</v>
      </c>
      <c r="B23" s="268" t="s">
        <v>37</v>
      </c>
      <c r="C23" s="424">
        <f>IF(B23="Yes",MIN(C20*0.05,200),0)</f>
        <v>0</v>
      </c>
      <c r="D23" s="422"/>
      <c r="E23" s="419"/>
      <c r="F23" s="425"/>
      <c r="G23" s="424"/>
      <c r="I23" s="185"/>
      <c r="J23" s="185"/>
      <c r="K23" s="269"/>
      <c r="L23" s="269"/>
    </row>
    <row r="24" spans="1:12" s="185" customFormat="1" ht="13.5" customHeight="1">
      <c r="A24" s="419" t="s">
        <v>144</v>
      </c>
      <c r="B24" s="268" t="s">
        <v>37</v>
      </c>
      <c r="C24" s="424">
        <f>IF(B24="Yes",C20*(1/3),0)</f>
        <v>0</v>
      </c>
      <c r="D24" s="422"/>
      <c r="E24" s="419"/>
      <c r="F24" s="425"/>
      <c r="G24" s="424"/>
      <c r="K24" s="269"/>
      <c r="L24" s="269"/>
    </row>
    <row r="25" spans="1:7" ht="13.5" customHeight="1">
      <c r="A25" s="426" t="s">
        <v>166</v>
      </c>
      <c r="B25" s="425"/>
      <c r="C25" s="424">
        <f>C20-SUM(C22:C24)</f>
        <v>2434.0499999999997</v>
      </c>
      <c r="D25" s="422"/>
      <c r="E25" s="419"/>
      <c r="F25" s="425"/>
      <c r="G25" s="424"/>
    </row>
    <row r="26" spans="1:7" ht="13.5" customHeight="1">
      <c r="A26" s="419" t="s">
        <v>145</v>
      </c>
      <c r="B26" s="429">
        <v>0.25</v>
      </c>
      <c r="C26" s="424">
        <f>K4*B26</f>
        <v>349.33124999999995</v>
      </c>
      <c r="D26" s="422"/>
      <c r="E26" s="426"/>
      <c r="F26" s="425"/>
      <c r="G26" s="424"/>
    </row>
    <row r="27" spans="1:7" ht="13.5" customHeight="1">
      <c r="A27" s="43" t="s">
        <v>85</v>
      </c>
      <c r="B27" s="430">
        <v>0.5</v>
      </c>
      <c r="C27" s="424">
        <f>L4*B27</f>
        <v>1036.725</v>
      </c>
      <c r="D27" s="422"/>
      <c r="E27" s="426"/>
      <c r="F27" s="425"/>
      <c r="G27" s="424"/>
    </row>
    <row r="28" spans="1:13" s="155" customFormat="1" ht="14.25" customHeight="1">
      <c r="A28" s="126" t="s">
        <v>226</v>
      </c>
      <c r="B28" s="171">
        <v>0.2</v>
      </c>
      <c r="C28" s="28">
        <f>C17*B28</f>
        <v>72.12</v>
      </c>
      <c r="D28" s="422"/>
      <c r="E28" s="43"/>
      <c r="F28" s="177"/>
      <c r="G28" s="163"/>
      <c r="H28" s="333"/>
      <c r="K28" s="41"/>
      <c r="L28" s="41"/>
      <c r="M28" s="41"/>
    </row>
    <row r="29" spans="1:7" ht="13.5" customHeight="1">
      <c r="A29" s="43" t="s">
        <v>225</v>
      </c>
      <c r="B29" s="50">
        <v>0.05</v>
      </c>
      <c r="C29" s="424">
        <f>C17*B29</f>
        <v>18.03</v>
      </c>
      <c r="D29" s="422"/>
      <c r="E29" s="426"/>
      <c r="F29" s="425"/>
      <c r="G29" s="424"/>
    </row>
    <row r="30" spans="1:7" ht="13.5" customHeight="1">
      <c r="A30" s="555" t="s">
        <v>86</v>
      </c>
      <c r="B30" s="555"/>
      <c r="C30" s="273">
        <f>C25-C26-C27-C29</f>
        <v>1029.9637500000001</v>
      </c>
      <c r="D30" s="422"/>
      <c r="E30" s="555" t="s">
        <v>87</v>
      </c>
      <c r="F30" s="555"/>
      <c r="G30" s="164">
        <f>G20-G21+G27</f>
        <v>370</v>
      </c>
    </row>
    <row r="31" spans="4:7" ht="13.5" customHeight="1">
      <c r="D31" s="431"/>
      <c r="E31" s="432"/>
      <c r="F31" s="431"/>
      <c r="G31" s="433"/>
    </row>
    <row r="32" spans="1:12" s="434" customFormat="1" ht="13.5" customHeight="1">
      <c r="A32" s="431"/>
      <c r="B32" s="431"/>
      <c r="C32" s="431"/>
      <c r="D32" s="431"/>
      <c r="E32" s="432"/>
      <c r="F32" s="431"/>
      <c r="G32" s="433"/>
      <c r="K32" s="435"/>
      <c r="L32" s="435"/>
    </row>
    <row r="33" spans="1:7" ht="13.5" customHeight="1">
      <c r="A33" s="613"/>
      <c r="B33" s="591" t="s">
        <v>90</v>
      </c>
      <c r="C33" s="591"/>
      <c r="D33" s="591"/>
      <c r="E33" s="436" t="s">
        <v>88</v>
      </c>
      <c r="F33" s="437" t="s">
        <v>89</v>
      </c>
      <c r="G33" s="417" t="s">
        <v>38</v>
      </c>
    </row>
    <row r="34" spans="1:7" ht="13.5" customHeight="1">
      <c r="A34" s="613"/>
      <c r="B34" s="591"/>
      <c r="C34" s="591"/>
      <c r="D34" s="591"/>
      <c r="E34" s="438">
        <f>C30</f>
        <v>1029.9637500000001</v>
      </c>
      <c r="F34" s="424">
        <f>G30</f>
        <v>370</v>
      </c>
      <c r="G34" s="439">
        <f>SUM(E34:F34)</f>
        <v>1399.9637500000001</v>
      </c>
    </row>
    <row r="35" spans="1:7" ht="13.5" customHeight="1">
      <c r="A35" s="613"/>
      <c r="B35" s="504" t="s">
        <v>91</v>
      </c>
      <c r="C35" s="504"/>
      <c r="D35" s="504"/>
      <c r="E35" s="440">
        <f>E34*0.18</f>
        <v>185.39347500000002</v>
      </c>
      <c r="F35" s="440">
        <f>F34*0.18</f>
        <v>66.6</v>
      </c>
      <c r="G35" s="440">
        <f>SUM(E35:F35)</f>
        <v>251.99347500000002</v>
      </c>
    </row>
    <row r="36" spans="1:7" ht="13.5" customHeight="1">
      <c r="A36" s="613"/>
      <c r="B36" s="614" t="s">
        <v>176</v>
      </c>
      <c r="C36" s="614"/>
      <c r="D36" s="614"/>
      <c r="E36" s="441">
        <f>SUM(E34:E35)</f>
        <v>1215.3572250000002</v>
      </c>
      <c r="F36" s="441">
        <f>SUM(F34:F35)</f>
        <v>436.6</v>
      </c>
      <c r="G36" s="442">
        <f>SUM(G34:G35)</f>
        <v>1651.957225</v>
      </c>
    </row>
    <row r="37" ht="13.5" customHeight="1">
      <c r="G37" s="443"/>
    </row>
    <row r="38" spans="1:3" s="26" customFormat="1" ht="13.5">
      <c r="A38" s="532" t="s">
        <v>220</v>
      </c>
      <c r="B38" s="532"/>
      <c r="C38" s="27"/>
    </row>
    <row r="39" spans="1:3" s="26" customFormat="1" ht="13.5">
      <c r="A39" s="385" t="s">
        <v>215</v>
      </c>
      <c r="B39" s="385" t="s">
        <v>216</v>
      </c>
      <c r="C39" s="27"/>
    </row>
    <row r="40" spans="1:3" s="26" customFormat="1" ht="13.5">
      <c r="A40" s="385" t="s">
        <v>217</v>
      </c>
      <c r="B40" s="386">
        <v>0.1</v>
      </c>
      <c r="C40" s="27"/>
    </row>
    <row r="41" spans="1:3" s="26" customFormat="1" ht="13.5">
      <c r="A41" s="385" t="s">
        <v>218</v>
      </c>
      <c r="B41" s="386">
        <v>0.2</v>
      </c>
      <c r="C41" s="27"/>
    </row>
    <row r="42" spans="1:3" s="26" customFormat="1" ht="13.5">
      <c r="A42" s="385" t="s">
        <v>219</v>
      </c>
      <c r="B42" s="386">
        <v>0.3</v>
      </c>
      <c r="C42" s="27"/>
    </row>
    <row r="43" ht="13.5" customHeight="1">
      <c r="E43" s="444"/>
    </row>
    <row r="58" ht="13.5" customHeight="1" hidden="1"/>
    <row r="59" ht="13.5" customHeight="1" hidden="1"/>
    <row r="60" ht="13.5" customHeight="1" hidden="1"/>
    <row r="61" spans="1:2" ht="13.5" customHeight="1" hidden="1">
      <c r="A61" s="73" t="s">
        <v>92</v>
      </c>
      <c r="B61" s="73" t="s">
        <v>93</v>
      </c>
    </row>
    <row r="62" spans="1:2" ht="13.5" customHeight="1" hidden="1">
      <c r="A62" s="73" t="b">
        <f>IF(B16="Yes",IF(B62=0,4.5%,IF(B62=1,5.5%,IF(B62=2,7%,0))))</f>
        <v>0</v>
      </c>
      <c r="B62" s="74">
        <f ca="1">YEAR(TODAY())-(G6)</f>
        <v>6</v>
      </c>
    </row>
    <row r="63" ht="13.5" customHeight="1" hidden="1"/>
  </sheetData>
  <sheetProtection/>
  <mergeCells count="23">
    <mergeCell ref="A38:B38"/>
    <mergeCell ref="A9:G9"/>
    <mergeCell ref="A10:C10"/>
    <mergeCell ref="E10:G10"/>
    <mergeCell ref="A30:B30"/>
    <mergeCell ref="E30:F30"/>
    <mergeCell ref="B36:D36"/>
    <mergeCell ref="B34:D34"/>
    <mergeCell ref="B35:D35"/>
    <mergeCell ref="J1:J2"/>
    <mergeCell ref="A33:A36"/>
    <mergeCell ref="B33:D33"/>
    <mergeCell ref="A1:G1"/>
    <mergeCell ref="A2:G2"/>
    <mergeCell ref="B3:G3"/>
    <mergeCell ref="B4:G4"/>
    <mergeCell ref="A5:G5"/>
    <mergeCell ref="A6:B6"/>
    <mergeCell ref="E6:F6"/>
    <mergeCell ref="A8:B8"/>
    <mergeCell ref="E8:F8"/>
    <mergeCell ref="A7:B7"/>
    <mergeCell ref="E7:F7"/>
  </mergeCells>
  <dataValidations count="8">
    <dataValidation type="list" allowBlank="1" showErrorMessage="1" sqref="B28">
      <formula1>"0,20%"</formula1>
    </dataValidation>
    <dataValidation type="list" allowBlank="1" showErrorMessage="1" sqref="B29">
      <formula1>"0%,5%"</formula1>
    </dataValidation>
    <dataValidation type="list" allowBlank="1" showErrorMessage="1" sqref="B17">
      <formula1>"0%,10%,20%,30%,"</formula1>
    </dataValidation>
    <dataValidation type="list" allowBlank="1" showErrorMessage="1" sqref="G7">
      <formula1>"18,19,20,21,22,23,24,25,26,27,28,29,30,31,32,33,34,35,"</formula1>
    </dataValidation>
    <dataValidation type="list" allowBlank="1" showErrorMessage="1" sqref="G8">
      <formula1>"A,B,C"</formula1>
      <formula2>0</formula2>
    </dataValidation>
    <dataValidation type="list" allowBlank="1" showErrorMessage="1" sqref="F21">
      <formula1>"750000,6000"</formula1>
      <formula2>0</formula2>
    </dataValidation>
    <dataValidation type="list" allowBlank="1" showErrorMessage="1" sqref="B26">
      <formula1>"0%,20%,25%,35%,45%,50%,"</formula1>
      <formula2>0</formula2>
    </dataValidation>
    <dataValidation type="list" allowBlank="1" showErrorMessage="1" sqref="B15:B16 F15 F17 B18:B19 B22:B24">
      <formula1>"Yes,No"</formula1>
      <formula2>0</formula2>
    </dataValidation>
  </dataValidations>
  <hyperlinks>
    <hyperlink ref="J1" location="'PCCV 3W exceed  18'!A1" display="BACK"/>
    <hyperlink ref="J1:J2" location="'PCCV 3W exceed  18'!A1" display="BACK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6">
      <selection activeCell="C30" sqref="C30"/>
    </sheetView>
  </sheetViews>
  <sheetFormatPr defaultColWidth="9.140625" defaultRowHeight="12.75"/>
  <cols>
    <col min="1" max="1" width="27.28125" style="185" customWidth="1"/>
    <col min="2" max="2" width="7.7109375" style="185" customWidth="1"/>
    <col min="3" max="3" width="10.7109375" style="185" customWidth="1"/>
    <col min="4" max="4" width="3.00390625" style="185" customWidth="1"/>
    <col min="5" max="5" width="19.421875" style="185" customWidth="1"/>
    <col min="6" max="6" width="9.8515625" style="185" customWidth="1"/>
    <col min="7" max="7" width="11.57421875" style="185" customWidth="1"/>
    <col min="8" max="8" width="3.421875" style="185" customWidth="1"/>
    <col min="9" max="9" width="5.7109375" style="185" customWidth="1"/>
    <col min="10" max="10" width="7.28125" style="185" customWidth="1"/>
    <col min="11" max="11" width="20.7109375" style="185" customWidth="1"/>
    <col min="12" max="13" width="6.7109375" style="269" hidden="1" customWidth="1"/>
    <col min="14" max="14" width="20.7109375" style="185" customWidth="1"/>
    <col min="15" max="16384" width="9.140625" style="185" customWidth="1"/>
  </cols>
  <sheetData>
    <row r="1" spans="1:13" ht="15">
      <c r="A1" s="608" t="s">
        <v>0</v>
      </c>
      <c r="B1" s="608"/>
      <c r="C1" s="608"/>
      <c r="D1" s="608"/>
      <c r="E1" s="608"/>
      <c r="F1" s="608"/>
      <c r="G1" s="608"/>
      <c r="L1" s="269" t="s">
        <v>145</v>
      </c>
      <c r="M1" s="269" t="s">
        <v>171</v>
      </c>
    </row>
    <row r="2" spans="1:10" ht="12.75" customHeight="1">
      <c r="A2" s="565" t="s">
        <v>243</v>
      </c>
      <c r="B2" s="565"/>
      <c r="C2" s="565" t="s">
        <v>93</v>
      </c>
      <c r="D2" s="565"/>
      <c r="E2" s="565"/>
      <c r="F2" s="565"/>
      <c r="G2" s="565"/>
      <c r="I2" s="625" t="s">
        <v>178</v>
      </c>
      <c r="J2" s="625"/>
    </row>
    <row r="3" spans="1:13" ht="15">
      <c r="A3" s="156" t="s">
        <v>128</v>
      </c>
      <c r="B3" s="568"/>
      <c r="C3" s="568"/>
      <c r="D3" s="568"/>
      <c r="E3" s="568"/>
      <c r="F3" s="568"/>
      <c r="G3" s="568"/>
      <c r="I3" s="625"/>
      <c r="J3" s="625"/>
      <c r="L3" s="270">
        <f>C14+C15+C17-C27</f>
        <v>7236.375</v>
      </c>
      <c r="M3" s="270">
        <f>C14+C15</f>
        <v>48242.49999999999</v>
      </c>
    </row>
    <row r="4" spans="1:7" ht="15">
      <c r="A4" s="156" t="s">
        <v>45</v>
      </c>
      <c r="B4" s="568"/>
      <c r="C4" s="568"/>
      <c r="D4" s="568"/>
      <c r="E4" s="568"/>
      <c r="F4" s="568"/>
      <c r="G4" s="568"/>
    </row>
    <row r="5" spans="1:7" ht="13.5">
      <c r="A5" s="555" t="s">
        <v>46</v>
      </c>
      <c r="B5" s="555"/>
      <c r="C5" s="555"/>
      <c r="D5" s="555"/>
      <c r="E5" s="555"/>
      <c r="F5" s="555"/>
      <c r="G5" s="555"/>
    </row>
    <row r="6" spans="1:7" ht="13.5">
      <c r="A6" s="559" t="s">
        <v>148</v>
      </c>
      <c r="B6" s="559"/>
      <c r="C6" s="159">
        <v>2500000</v>
      </c>
      <c r="D6" s="160"/>
      <c r="E6" s="559" t="s">
        <v>53</v>
      </c>
      <c r="F6" s="559"/>
      <c r="G6" s="161">
        <v>2017</v>
      </c>
    </row>
    <row r="7" spans="1:7" ht="13.5">
      <c r="A7" s="559" t="s">
        <v>60</v>
      </c>
      <c r="B7" s="559"/>
      <c r="C7" s="159"/>
      <c r="D7" s="160"/>
      <c r="E7" s="559" t="s">
        <v>173</v>
      </c>
      <c r="F7" s="559"/>
      <c r="G7" s="161">
        <v>56</v>
      </c>
    </row>
    <row r="8" spans="1:7" ht="13.5">
      <c r="A8" s="559" t="s">
        <v>150</v>
      </c>
      <c r="B8" s="559"/>
      <c r="C8" s="159">
        <v>0</v>
      </c>
      <c r="D8" s="160"/>
      <c r="E8" s="592" t="s">
        <v>48</v>
      </c>
      <c r="F8" s="592"/>
      <c r="G8" s="162" t="s">
        <v>151</v>
      </c>
    </row>
    <row r="9" spans="1:15" ht="13.5">
      <c r="A9" s="623" t="s">
        <v>152</v>
      </c>
      <c r="B9" s="623"/>
      <c r="C9" s="623"/>
      <c r="D9" s="623"/>
      <c r="E9" s="623"/>
      <c r="F9" s="623"/>
      <c r="G9" s="623"/>
      <c r="O9" s="26"/>
    </row>
    <row r="10" spans="1:15" ht="13.5">
      <c r="A10" s="559" t="s">
        <v>56</v>
      </c>
      <c r="B10" s="559"/>
      <c r="C10" s="559"/>
      <c r="D10" s="562"/>
      <c r="E10" s="559" t="s">
        <v>57</v>
      </c>
      <c r="F10" s="559"/>
      <c r="G10" s="559"/>
      <c r="O10" s="26"/>
    </row>
    <row r="11" spans="1:15" ht="13.5">
      <c r="A11" s="160" t="s">
        <v>153</v>
      </c>
      <c r="B11" s="271"/>
      <c r="C11" s="164">
        <f>Database2!G8+(IF(G7&gt;=61,"680",IF(G7&gt;=37,"550",IF(G7&gt;=20,"450","350"))))</f>
        <v>41949.99999999999</v>
      </c>
      <c r="D11" s="562"/>
      <c r="E11" s="160" t="s">
        <v>99</v>
      </c>
      <c r="F11" s="163"/>
      <c r="G11" s="164">
        <f>SUM(Database2!G9)</f>
        <v>14343</v>
      </c>
      <c r="O11" s="26"/>
    </row>
    <row r="12" spans="1:15" ht="13.5">
      <c r="A12" s="160" t="s">
        <v>60</v>
      </c>
      <c r="B12" s="163"/>
      <c r="C12" s="164">
        <f>C7*0.04</f>
        <v>0</v>
      </c>
      <c r="D12" s="562"/>
      <c r="E12" s="160" t="s">
        <v>174</v>
      </c>
      <c r="F12" s="163"/>
      <c r="G12" s="164">
        <f>G7*877</f>
        <v>49112</v>
      </c>
      <c r="O12" s="26"/>
    </row>
    <row r="13" spans="1:15" ht="13.5">
      <c r="A13" s="160" t="s">
        <v>108</v>
      </c>
      <c r="B13" s="163"/>
      <c r="C13" s="164">
        <f>IF(C8&gt;0,C8*4/100,0)</f>
        <v>0</v>
      </c>
      <c r="D13" s="562"/>
      <c r="E13" s="160" t="s">
        <v>156</v>
      </c>
      <c r="F13" s="163"/>
      <c r="G13" s="164">
        <f>IF(C8&gt;0,60,0)</f>
        <v>0</v>
      </c>
      <c r="O13" s="26"/>
    </row>
    <row r="14" spans="1:18" ht="13.5">
      <c r="A14" s="177" t="s">
        <v>65</v>
      </c>
      <c r="B14" s="163"/>
      <c r="C14" s="164">
        <f>SUM(C11+C12+C13)</f>
        <v>41949.99999999999</v>
      </c>
      <c r="D14" s="562"/>
      <c r="E14" s="177" t="s">
        <v>157</v>
      </c>
      <c r="F14" s="169"/>
      <c r="G14" s="636">
        <f>SUM(G11:G13)</f>
        <v>63455</v>
      </c>
      <c r="O14" s="269"/>
      <c r="P14" s="269"/>
      <c r="R14" s="26"/>
    </row>
    <row r="15" spans="1:15" ht="13.5">
      <c r="A15" s="160" t="s">
        <v>158</v>
      </c>
      <c r="B15" s="162" t="s">
        <v>62</v>
      </c>
      <c r="C15" s="164">
        <f>IF(B15="Yes",(C11+C12+C13)*0.15,0)</f>
        <v>6292.499999999999</v>
      </c>
      <c r="D15" s="562"/>
      <c r="E15" s="160" t="s">
        <v>136</v>
      </c>
      <c r="F15" s="162" t="s">
        <v>62</v>
      </c>
      <c r="G15" s="164">
        <f>IF(F15="Yes",50*F16,0)</f>
        <v>50</v>
      </c>
      <c r="O15" s="26"/>
    </row>
    <row r="16" spans="1:15" ht="13.5">
      <c r="A16" s="160" t="s">
        <v>67</v>
      </c>
      <c r="B16" s="50">
        <v>0</v>
      </c>
      <c r="C16" s="164">
        <f>(C14)*B16</f>
        <v>0</v>
      </c>
      <c r="D16" s="562"/>
      <c r="E16" s="160" t="s">
        <v>175</v>
      </c>
      <c r="F16" s="162">
        <v>1</v>
      </c>
      <c r="G16" s="164"/>
      <c r="O16" s="26"/>
    </row>
    <row r="17" spans="1:15" ht="13.5">
      <c r="A17" s="267" t="s">
        <v>137</v>
      </c>
      <c r="B17" s="268" t="s">
        <v>37</v>
      </c>
      <c r="C17" s="265">
        <f>C6*A56/10</f>
        <v>0</v>
      </c>
      <c r="D17" s="562"/>
      <c r="E17" s="172" t="s">
        <v>135</v>
      </c>
      <c r="F17" s="162" t="s">
        <v>62</v>
      </c>
      <c r="G17" s="636">
        <f>IF(F17="Yes",320,0)</f>
        <v>320</v>
      </c>
      <c r="O17" s="26"/>
    </row>
    <row r="18" spans="1:15" ht="13.5">
      <c r="A18" s="160" t="s">
        <v>170</v>
      </c>
      <c r="B18" s="162" t="s">
        <v>37</v>
      </c>
      <c r="C18" s="164">
        <f>IF(B18="Yes",C14*0.3,0)</f>
        <v>0</v>
      </c>
      <c r="D18" s="562"/>
      <c r="E18" s="160"/>
      <c r="F18" s="160"/>
      <c r="G18" s="635"/>
      <c r="O18" s="26"/>
    </row>
    <row r="19" spans="1:15" ht="13.5">
      <c r="A19" s="160" t="s">
        <v>140</v>
      </c>
      <c r="B19" s="162" t="s">
        <v>37</v>
      </c>
      <c r="C19" s="164">
        <f>IF(B19="Yes",50,0)</f>
        <v>0</v>
      </c>
      <c r="D19" s="562"/>
      <c r="E19" s="177" t="s">
        <v>164</v>
      </c>
      <c r="F19" s="163"/>
      <c r="G19" s="164">
        <f>G15+G17</f>
        <v>370</v>
      </c>
      <c r="O19" s="26"/>
    </row>
    <row r="20" spans="1:15" ht="13.5">
      <c r="A20" s="177" t="s">
        <v>142</v>
      </c>
      <c r="B20" s="163"/>
      <c r="C20" s="164">
        <f>C14+C15+C16+C17+C18+C19</f>
        <v>48242.49999999999</v>
      </c>
      <c r="D20" s="562"/>
      <c r="O20" s="26"/>
    </row>
    <row r="21" spans="1:15" ht="13.5">
      <c r="A21" s="160" t="s">
        <v>165</v>
      </c>
      <c r="B21" s="163"/>
      <c r="C21" s="164"/>
      <c r="D21" s="562"/>
      <c r="E21" s="160" t="s">
        <v>118</v>
      </c>
      <c r="F21" s="162">
        <v>750000</v>
      </c>
      <c r="G21" s="164">
        <f>IF(F21=750000,0,150)</f>
        <v>0</v>
      </c>
      <c r="O21" s="26"/>
    </row>
    <row r="22" spans="1:7" ht="13.5">
      <c r="A22" s="160" t="s">
        <v>117</v>
      </c>
      <c r="B22" s="162" t="s">
        <v>37</v>
      </c>
      <c r="C22" s="164">
        <f>IF(B22="Yes",MIN(C20*0.025,500),0)</f>
        <v>0</v>
      </c>
      <c r="D22" s="562"/>
      <c r="E22" s="177" t="s">
        <v>246</v>
      </c>
      <c r="F22" s="163"/>
      <c r="G22" s="636">
        <f>SUM(G21)</f>
        <v>0</v>
      </c>
    </row>
    <row r="23" spans="1:7" ht="13.5">
      <c r="A23" s="160" t="s">
        <v>79</v>
      </c>
      <c r="B23" s="162" t="s">
        <v>37</v>
      </c>
      <c r="C23" s="164">
        <f>IF(B23="Yes",MIN(C20*0.05,200),0)</f>
        <v>0</v>
      </c>
      <c r="D23" s="562"/>
      <c r="E23" s="160"/>
      <c r="F23" s="163"/>
      <c r="G23" s="164"/>
    </row>
    <row r="24" spans="1:13" ht="13.5">
      <c r="A24" s="160" t="s">
        <v>144</v>
      </c>
      <c r="B24" s="162" t="s">
        <v>37</v>
      </c>
      <c r="C24" s="164">
        <f>IF(B24="Yes",C20*(1/3),0)</f>
        <v>0</v>
      </c>
      <c r="D24" s="562"/>
      <c r="E24" s="160"/>
      <c r="F24" s="163"/>
      <c r="G24" s="164"/>
      <c r="J24" s="203"/>
      <c r="K24" s="203"/>
      <c r="L24" s="203"/>
      <c r="M24" s="203"/>
    </row>
    <row r="25" spans="1:7" ht="13.5">
      <c r="A25" s="177" t="s">
        <v>166</v>
      </c>
      <c r="B25" s="163"/>
      <c r="C25" s="164">
        <f>C20-SUM(C22:C24)</f>
        <v>48242.49999999999</v>
      </c>
      <c r="D25" s="562"/>
      <c r="E25" s="160"/>
      <c r="F25" s="163"/>
      <c r="G25" s="164"/>
    </row>
    <row r="26" spans="1:7" ht="13.5">
      <c r="A26" s="160" t="s">
        <v>145</v>
      </c>
      <c r="B26" s="171">
        <v>0</v>
      </c>
      <c r="C26" s="164">
        <f>(C25-C27)*B26</f>
        <v>0</v>
      </c>
      <c r="D26" s="562"/>
      <c r="E26" s="177"/>
      <c r="F26" s="163"/>
      <c r="G26" s="164"/>
    </row>
    <row r="27" spans="1:7" ht="13.5">
      <c r="A27" s="43" t="s">
        <v>85</v>
      </c>
      <c r="B27" s="272">
        <v>0.85</v>
      </c>
      <c r="C27" s="164">
        <f>(C14+C15)*B27</f>
        <v>41006.12499999999</v>
      </c>
      <c r="D27" s="562"/>
      <c r="E27" s="177"/>
      <c r="F27" s="163"/>
      <c r="G27" s="636"/>
    </row>
    <row r="28" spans="1:13" s="155" customFormat="1" ht="14.25" customHeight="1">
      <c r="A28" s="126" t="s">
        <v>226</v>
      </c>
      <c r="B28" s="171">
        <v>0</v>
      </c>
      <c r="C28" s="28">
        <f>C16*B28</f>
        <v>0</v>
      </c>
      <c r="D28" s="562"/>
      <c r="E28" s="43"/>
      <c r="F28" s="177"/>
      <c r="G28" s="163"/>
      <c r="H28" s="333"/>
      <c r="K28" s="41"/>
      <c r="L28" s="41"/>
      <c r="M28" s="41"/>
    </row>
    <row r="29" spans="1:7" ht="13.5">
      <c r="A29" s="43" t="s">
        <v>225</v>
      </c>
      <c r="B29" s="50">
        <v>0</v>
      </c>
      <c r="C29" s="44">
        <f>C16*B29</f>
        <v>0</v>
      </c>
      <c r="D29" s="562"/>
      <c r="E29" s="177"/>
      <c r="F29" s="163"/>
      <c r="G29" s="164"/>
    </row>
    <row r="30" spans="1:11" ht="13.5">
      <c r="A30" s="624" t="s">
        <v>86</v>
      </c>
      <c r="B30" s="624"/>
      <c r="C30" s="273">
        <f>C25-C26-C27-C29</f>
        <v>7236.375</v>
      </c>
      <c r="D30" s="562"/>
      <c r="E30" s="555" t="s">
        <v>87</v>
      </c>
      <c r="F30" s="555"/>
      <c r="G30" s="636">
        <f>G14+G17+G22</f>
        <v>63775</v>
      </c>
      <c r="K30" s="274"/>
    </row>
    <row r="31" spans="1:11" ht="15" customHeight="1">
      <c r="A31" s="180"/>
      <c r="B31" s="180"/>
      <c r="C31" s="180"/>
      <c r="D31" s="180"/>
      <c r="E31" s="180"/>
      <c r="F31" s="180"/>
      <c r="G31" s="180"/>
      <c r="K31" s="269"/>
    </row>
    <row r="32" spans="1:7" ht="14.25" customHeight="1">
      <c r="A32" s="506"/>
      <c r="B32" s="621" t="s">
        <v>90</v>
      </c>
      <c r="C32" s="621"/>
      <c r="D32" s="621"/>
      <c r="E32" s="275" t="s">
        <v>88</v>
      </c>
      <c r="F32" s="276" t="s">
        <v>89</v>
      </c>
      <c r="G32" s="66" t="s">
        <v>38</v>
      </c>
    </row>
    <row r="33" spans="1:7" ht="13.5">
      <c r="A33" s="506"/>
      <c r="B33" s="621"/>
      <c r="C33" s="621"/>
      <c r="D33" s="160"/>
      <c r="E33" s="277">
        <f>C30</f>
        <v>7236.375</v>
      </c>
      <c r="F33" s="164">
        <f>G30</f>
        <v>63775</v>
      </c>
      <c r="G33" s="170">
        <f>SUM(E33:F33)</f>
        <v>71011.375</v>
      </c>
    </row>
    <row r="34" spans="1:7" ht="13.5">
      <c r="A34" s="506"/>
      <c r="B34" s="576" t="s">
        <v>146</v>
      </c>
      <c r="C34" s="576"/>
      <c r="D34" s="576"/>
      <c r="E34" s="273">
        <f>(E33+G15+G17)*0.18</f>
        <v>1369.1475</v>
      </c>
      <c r="F34" s="273">
        <f>(F33-G15-G17)*0.18</f>
        <v>11412.9</v>
      </c>
      <c r="G34" s="273">
        <f>SUM(E34:F34)</f>
        <v>12782.0475</v>
      </c>
    </row>
    <row r="35" spans="1:13" s="155" customFormat="1" ht="13.5">
      <c r="A35" s="506"/>
      <c r="B35" s="622" t="s">
        <v>176</v>
      </c>
      <c r="C35" s="622"/>
      <c r="D35" s="622"/>
      <c r="E35" s="179">
        <f>SUM(E33:E34)</f>
        <v>8605.5225</v>
      </c>
      <c r="F35" s="179">
        <f>SUM(F33:F34)</f>
        <v>75187.9</v>
      </c>
      <c r="G35" s="170">
        <f>SUM(G33:G34)</f>
        <v>83793.4225</v>
      </c>
      <c r="L35" s="278"/>
      <c r="M35" s="278"/>
    </row>
    <row r="36" spans="1:13" s="155" customFormat="1" ht="13.5">
      <c r="A36" s="185"/>
      <c r="B36" s="185"/>
      <c r="C36" s="185"/>
      <c r="D36" s="185"/>
      <c r="E36" s="185"/>
      <c r="F36" s="185"/>
      <c r="G36" s="279"/>
      <c r="L36" s="278"/>
      <c r="M36" s="278"/>
    </row>
    <row r="37" spans="1:13" s="155" customFormat="1" ht="13.5">
      <c r="A37" s="185"/>
      <c r="B37" s="185"/>
      <c r="C37" s="185"/>
      <c r="E37" s="280"/>
      <c r="F37" s="185"/>
      <c r="G37" s="185"/>
      <c r="L37" s="278"/>
      <c r="M37" s="278"/>
    </row>
    <row r="39" spans="1:3" s="41" customFormat="1" ht="13.5">
      <c r="A39" s="502" t="s">
        <v>221</v>
      </c>
      <c r="B39" s="502"/>
      <c r="C39" s="389"/>
    </row>
    <row r="40" spans="1:3" s="41" customFormat="1" ht="13.5">
      <c r="A40" s="390" t="s">
        <v>215</v>
      </c>
      <c r="B40" s="390" t="s">
        <v>216</v>
      </c>
      <c r="C40" s="389"/>
    </row>
    <row r="41" spans="1:3" s="41" customFormat="1" ht="13.5">
      <c r="A41" s="390" t="s">
        <v>217</v>
      </c>
      <c r="B41" s="391">
        <v>0.1</v>
      </c>
      <c r="C41" s="389"/>
    </row>
    <row r="42" spans="1:3" s="41" customFormat="1" ht="13.5">
      <c r="A42" s="390" t="s">
        <v>218</v>
      </c>
      <c r="B42" s="391">
        <v>0.2</v>
      </c>
      <c r="C42" s="389"/>
    </row>
    <row r="43" spans="1:3" s="41" customFormat="1" ht="13.5">
      <c r="A43" s="390" t="s">
        <v>219</v>
      </c>
      <c r="B43" s="391">
        <v>0.3</v>
      </c>
      <c r="C43" s="389"/>
    </row>
    <row r="44" spans="1:7" ht="12.75" customHeight="1">
      <c r="A44" s="620" t="s">
        <v>183</v>
      </c>
      <c r="B44" s="620"/>
      <c r="C44" s="620"/>
      <c r="E44" s="282"/>
      <c r="F44" s="282"/>
      <c r="G44" s="282"/>
    </row>
    <row r="52" ht="13.5" hidden="1"/>
    <row r="53" ht="13.5" hidden="1"/>
    <row r="54" ht="13.5" hidden="1"/>
    <row r="55" spans="1:2" ht="13.5" hidden="1">
      <c r="A55" s="73" t="s">
        <v>92</v>
      </c>
      <c r="B55" s="73" t="s">
        <v>93</v>
      </c>
    </row>
    <row r="56" spans="1:2" ht="13.5" hidden="1">
      <c r="A56" s="73" t="b">
        <f>IF(B17="Yes",IF(B56=0,4.5%,IF(B56=1,5.5%,IF(B56=2,7%,0))))</f>
        <v>0</v>
      </c>
      <c r="B56" s="74">
        <f ca="1">YEAR(TODAY())-(G6)</f>
        <v>5</v>
      </c>
    </row>
    <row r="57" ht="13.5" hidden="1"/>
  </sheetData>
  <sheetProtection password="CEED" sheet="1"/>
  <mergeCells count="25">
    <mergeCell ref="A1:G1"/>
    <mergeCell ref="A2:G2"/>
    <mergeCell ref="I2:J3"/>
    <mergeCell ref="B3:G3"/>
    <mergeCell ref="B4:G4"/>
    <mergeCell ref="A5:G5"/>
    <mergeCell ref="A6:B6"/>
    <mergeCell ref="E6:F6"/>
    <mergeCell ref="A7:B7"/>
    <mergeCell ref="E7:F7"/>
    <mergeCell ref="A8:B8"/>
    <mergeCell ref="E8:F8"/>
    <mergeCell ref="A9:G9"/>
    <mergeCell ref="A10:C10"/>
    <mergeCell ref="D10:D30"/>
    <mergeCell ref="E10:G10"/>
    <mergeCell ref="A30:B30"/>
    <mergeCell ref="E30:F30"/>
    <mergeCell ref="A39:B39"/>
    <mergeCell ref="A44:C44"/>
    <mergeCell ref="A32:A35"/>
    <mergeCell ref="B32:D32"/>
    <mergeCell ref="B33:C33"/>
    <mergeCell ref="B34:D34"/>
    <mergeCell ref="B35:D35"/>
  </mergeCells>
  <dataValidations count="8">
    <dataValidation type="list" allowBlank="1" showErrorMessage="1" sqref="B13 F15 B17:B19 F17 B22:B24">
      <formula1>"Yes,No"</formula1>
      <formula2>0</formula2>
    </dataValidation>
    <dataValidation type="list" allowBlank="1" showErrorMessage="1" sqref="B26">
      <formula1>"0%,20%,25%,35%,45%,50%,"</formula1>
      <formula2>0</formula2>
    </dataValidation>
    <dataValidation type="list" allowBlank="1" showErrorMessage="1" sqref="F21">
      <formula1>"750000,6000"</formula1>
      <formula2>0</formula2>
    </dataValidation>
    <dataValidation errorStyle="warning" type="list" allowBlank="1" showErrorMessage="1" sqref="B15">
      <formula1>"Yes,No"</formula1>
      <formula2>0</formula2>
    </dataValidation>
    <dataValidation type="list" allowBlank="1" showErrorMessage="1" sqref="G8">
      <formula1>"A,B,C"</formula1>
      <formula2>0</formula2>
    </dataValidation>
    <dataValidation type="list" allowBlank="1" showErrorMessage="1" sqref="B16">
      <formula1>"0%,10%,20%,30%,"</formula1>
    </dataValidation>
    <dataValidation type="list" allowBlank="1" showErrorMessage="1" sqref="B29">
      <formula1>"0%,5%"</formula1>
    </dataValidation>
    <dataValidation type="list" allowBlank="1" showErrorMessage="1" sqref="B28">
      <formula1>"0,20%"</formula1>
    </dataValidation>
  </dataValidations>
  <hyperlinks>
    <hyperlink ref="I2" location="HyperLink!A1" display="Back to Hyperlink"/>
  </hyperlinks>
  <printOptions/>
  <pageMargins left="0.9097222222222222" right="0.4701388888888889" top="0.9840277777777777" bottom="0.9840277777777777" header="0.5118055555555555" footer="0.511805555555555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28.00390625" style="185" customWidth="1"/>
    <col min="2" max="2" width="7.7109375" style="185" customWidth="1"/>
    <col min="3" max="3" width="10.7109375" style="185" customWidth="1"/>
    <col min="4" max="4" width="3.00390625" style="185" customWidth="1"/>
    <col min="5" max="5" width="19.421875" style="185" customWidth="1"/>
    <col min="6" max="6" width="9.8515625" style="185" customWidth="1"/>
    <col min="7" max="7" width="11.57421875" style="185" customWidth="1"/>
    <col min="8" max="8" width="3.421875" style="185" customWidth="1"/>
    <col min="9" max="9" width="5.7109375" style="185" customWidth="1"/>
    <col min="10" max="10" width="7.28125" style="185" customWidth="1"/>
    <col min="11" max="11" width="20.7109375" style="185" customWidth="1"/>
    <col min="12" max="13" width="6.7109375" style="269" hidden="1" customWidth="1"/>
    <col min="14" max="14" width="20.7109375" style="185" customWidth="1"/>
    <col min="15" max="16384" width="9.140625" style="185" customWidth="1"/>
  </cols>
  <sheetData>
    <row r="1" spans="1:13" ht="15">
      <c r="A1" s="608" t="s">
        <v>0</v>
      </c>
      <c r="B1" s="608"/>
      <c r="C1" s="608"/>
      <c r="D1" s="608"/>
      <c r="E1" s="608"/>
      <c r="F1" s="608"/>
      <c r="G1" s="608"/>
      <c r="L1" s="269" t="s">
        <v>145</v>
      </c>
      <c r="M1" s="269" t="s">
        <v>171</v>
      </c>
    </row>
    <row r="2" spans="1:10" ht="12.75" customHeight="1">
      <c r="A2" s="565" t="s">
        <v>244</v>
      </c>
      <c r="B2" s="565"/>
      <c r="C2" s="565" t="s">
        <v>93</v>
      </c>
      <c r="D2" s="565"/>
      <c r="E2" s="565"/>
      <c r="F2" s="565"/>
      <c r="G2" s="565"/>
      <c r="I2" s="625" t="s">
        <v>178</v>
      </c>
      <c r="J2" s="625"/>
    </row>
    <row r="3" spans="1:13" ht="15">
      <c r="A3" s="156" t="s">
        <v>128</v>
      </c>
      <c r="B3" s="568"/>
      <c r="C3" s="568"/>
      <c r="D3" s="568"/>
      <c r="E3" s="568"/>
      <c r="F3" s="568"/>
      <c r="G3" s="568"/>
      <c r="I3" s="625"/>
      <c r="J3" s="625"/>
      <c r="L3" s="270">
        <f>C14+C15+C17-C27</f>
        <v>9862.599999999999</v>
      </c>
      <c r="M3" s="270">
        <f>C14+C15</f>
        <v>19725.199999999997</v>
      </c>
    </row>
    <row r="4" spans="1:7" ht="15">
      <c r="A4" s="156" t="s">
        <v>45</v>
      </c>
      <c r="B4" s="568"/>
      <c r="C4" s="568"/>
      <c r="D4" s="568"/>
      <c r="E4" s="568"/>
      <c r="F4" s="568"/>
      <c r="G4" s="568"/>
    </row>
    <row r="5" spans="1:7" ht="13.5">
      <c r="A5" s="555" t="s">
        <v>46</v>
      </c>
      <c r="B5" s="555"/>
      <c r="C5" s="555"/>
      <c r="D5" s="555"/>
      <c r="E5" s="555"/>
      <c r="F5" s="555"/>
      <c r="G5" s="555"/>
    </row>
    <row r="6" spans="1:7" ht="13.5">
      <c r="A6" s="559" t="s">
        <v>148</v>
      </c>
      <c r="B6" s="559"/>
      <c r="C6" s="159">
        <v>1170000</v>
      </c>
      <c r="D6" s="160"/>
      <c r="E6" s="559" t="s">
        <v>53</v>
      </c>
      <c r="F6" s="559"/>
      <c r="G6" s="161">
        <v>2019</v>
      </c>
    </row>
    <row r="7" spans="1:7" ht="13.5">
      <c r="A7" s="559" t="s">
        <v>60</v>
      </c>
      <c r="B7" s="559"/>
      <c r="C7" s="159"/>
      <c r="D7" s="160"/>
      <c r="E7" s="559" t="s">
        <v>173</v>
      </c>
      <c r="F7" s="559"/>
      <c r="G7" s="161">
        <v>10</v>
      </c>
    </row>
    <row r="8" spans="1:7" ht="13.5">
      <c r="A8" s="559" t="s">
        <v>150</v>
      </c>
      <c r="B8" s="559"/>
      <c r="C8" s="159">
        <v>0</v>
      </c>
      <c r="D8" s="160"/>
      <c r="E8" s="592" t="s">
        <v>48</v>
      </c>
      <c r="F8" s="592"/>
      <c r="G8" s="162" t="s">
        <v>151</v>
      </c>
    </row>
    <row r="9" spans="1:15" ht="13.5">
      <c r="A9" s="623" t="s">
        <v>152</v>
      </c>
      <c r="B9" s="623"/>
      <c r="C9" s="623"/>
      <c r="D9" s="623"/>
      <c r="E9" s="623"/>
      <c r="F9" s="623"/>
      <c r="G9" s="623"/>
      <c r="O9" s="26"/>
    </row>
    <row r="10" spans="1:15" ht="13.5">
      <c r="A10" s="559" t="s">
        <v>56</v>
      </c>
      <c r="B10" s="559"/>
      <c r="C10" s="559"/>
      <c r="D10" s="562"/>
      <c r="E10" s="559" t="s">
        <v>57</v>
      </c>
      <c r="F10" s="559"/>
      <c r="G10" s="559"/>
      <c r="O10" s="26"/>
    </row>
    <row r="11" spans="1:15" ht="13.5">
      <c r="A11" s="160" t="s">
        <v>153</v>
      </c>
      <c r="B11" s="271"/>
      <c r="C11" s="164">
        <f>Database3!G8+(IF(G7&gt;=61,"680",IF(G7&gt;=37,"550",IF(G7&gt;=20,"450","350"))))</f>
        <v>19725.199999999997</v>
      </c>
      <c r="D11" s="562"/>
      <c r="E11" s="160" t="s">
        <v>99</v>
      </c>
      <c r="F11" s="163"/>
      <c r="G11" s="164">
        <f>SUM(Database3!G9)</f>
        <v>13729</v>
      </c>
      <c r="O11" s="26"/>
    </row>
    <row r="12" spans="1:15" ht="13.5">
      <c r="A12" s="160" t="s">
        <v>60</v>
      </c>
      <c r="B12" s="163"/>
      <c r="C12" s="164">
        <f>C7*0.04</f>
        <v>0</v>
      </c>
      <c r="D12" s="562"/>
      <c r="E12" s="160" t="s">
        <v>174</v>
      </c>
      <c r="F12" s="163"/>
      <c r="G12" s="164">
        <f>G7*839</f>
        <v>8390</v>
      </c>
      <c r="O12" s="26"/>
    </row>
    <row r="13" spans="1:15" ht="13.5">
      <c r="A13" s="160" t="s">
        <v>108</v>
      </c>
      <c r="B13" s="163"/>
      <c r="C13" s="164">
        <f>IF(C8&gt;0,C8*4/100,0)</f>
        <v>0</v>
      </c>
      <c r="D13" s="562"/>
      <c r="E13" s="160" t="s">
        <v>156</v>
      </c>
      <c r="F13" s="163"/>
      <c r="G13" s="164">
        <f>IF(C8&gt;0,60,0)</f>
        <v>0</v>
      </c>
      <c r="O13" s="26"/>
    </row>
    <row r="14" spans="1:15" ht="13.5">
      <c r="A14" s="177" t="s">
        <v>65</v>
      </c>
      <c r="B14" s="163"/>
      <c r="C14" s="164">
        <f>SUM(C11+C12+C13)</f>
        <v>19725.199999999997</v>
      </c>
      <c r="D14" s="562"/>
      <c r="E14" s="177" t="s">
        <v>157</v>
      </c>
      <c r="F14" s="169"/>
      <c r="G14" s="164">
        <f>SUM(G11:G13)</f>
        <v>22119</v>
      </c>
      <c r="O14" s="26"/>
    </row>
    <row r="15" spans="1:15" ht="13.5">
      <c r="A15" s="160" t="s">
        <v>158</v>
      </c>
      <c r="B15" s="162" t="s">
        <v>37</v>
      </c>
      <c r="C15" s="164">
        <f>IF(B15="Yes",(C11+C12+C13)*0.15,0)</f>
        <v>0</v>
      </c>
      <c r="D15" s="562"/>
      <c r="E15" s="160" t="s">
        <v>136</v>
      </c>
      <c r="F15" s="162" t="s">
        <v>62</v>
      </c>
      <c r="G15" s="164">
        <f>IF(F15="Yes",50*F16,0)</f>
        <v>50</v>
      </c>
      <c r="O15" s="26"/>
    </row>
    <row r="16" spans="1:15" ht="13.5">
      <c r="A16" s="160" t="s">
        <v>67</v>
      </c>
      <c r="B16" s="50">
        <v>0.3</v>
      </c>
      <c r="C16" s="164">
        <f>(C14)*B16</f>
        <v>5917.559999999999</v>
      </c>
      <c r="D16" s="562"/>
      <c r="E16" s="160" t="s">
        <v>175</v>
      </c>
      <c r="F16" s="162">
        <v>1</v>
      </c>
      <c r="G16" s="164"/>
      <c r="O16" s="26"/>
    </row>
    <row r="17" spans="1:15" ht="13.5">
      <c r="A17" s="267" t="s">
        <v>137</v>
      </c>
      <c r="B17" s="268" t="s">
        <v>37</v>
      </c>
      <c r="C17" s="265">
        <f>C6*A56/10</f>
        <v>0</v>
      </c>
      <c r="D17" s="562"/>
      <c r="E17" s="172" t="s">
        <v>135</v>
      </c>
      <c r="F17" s="162" t="s">
        <v>37</v>
      </c>
      <c r="G17" s="164">
        <f>IF(F17="Yes",320,0)</f>
        <v>0</v>
      </c>
      <c r="O17" s="26"/>
    </row>
    <row r="18" spans="1:15" ht="13.5">
      <c r="A18" s="160" t="s">
        <v>170</v>
      </c>
      <c r="B18" s="162" t="s">
        <v>37</v>
      </c>
      <c r="C18" s="164">
        <f>IF(B18="Yes",C14*0.3,0)</f>
        <v>0</v>
      </c>
      <c r="D18" s="562"/>
      <c r="E18" s="160"/>
      <c r="F18" s="160"/>
      <c r="G18" s="160"/>
      <c r="O18" s="26"/>
    </row>
    <row r="19" spans="1:15" ht="13.5">
      <c r="A19" s="160" t="s">
        <v>140</v>
      </c>
      <c r="B19" s="162" t="s">
        <v>37</v>
      </c>
      <c r="C19" s="164">
        <f>IF(B19="Yes",50,0)</f>
        <v>0</v>
      </c>
      <c r="D19" s="562"/>
      <c r="E19" s="177" t="s">
        <v>164</v>
      </c>
      <c r="F19" s="163"/>
      <c r="G19" s="164">
        <f>SUM(G14,G15,G17)</f>
        <v>22169</v>
      </c>
      <c r="O19" s="26"/>
    </row>
    <row r="20" spans="1:15" ht="13.5">
      <c r="A20" s="177" t="s">
        <v>142</v>
      </c>
      <c r="B20" s="163"/>
      <c r="C20" s="164">
        <f>C14+C15+C16+C17+C18+C19</f>
        <v>25642.759999999995</v>
      </c>
      <c r="D20" s="562"/>
      <c r="E20" s="160" t="s">
        <v>118</v>
      </c>
      <c r="F20" s="162">
        <v>750000</v>
      </c>
      <c r="G20" s="164">
        <f>IF(F20=750000,0,150)</f>
        <v>0</v>
      </c>
      <c r="O20" s="26"/>
    </row>
    <row r="21" spans="1:15" ht="13.5">
      <c r="A21" s="160" t="s">
        <v>165</v>
      </c>
      <c r="B21" s="163"/>
      <c r="C21" s="164"/>
      <c r="D21" s="562"/>
      <c r="E21" s="160"/>
      <c r="F21" s="160"/>
      <c r="G21" s="160"/>
      <c r="O21" s="26"/>
    </row>
    <row r="22" spans="1:7" ht="13.5">
      <c r="A22" s="160" t="s">
        <v>117</v>
      </c>
      <c r="B22" s="162" t="s">
        <v>37</v>
      </c>
      <c r="C22" s="164">
        <f>IF(B22="Yes",MIN(C20*0.025,500),0)</f>
        <v>0</v>
      </c>
      <c r="D22" s="562"/>
      <c r="E22" s="160"/>
      <c r="F22" s="163"/>
      <c r="G22" s="164"/>
    </row>
    <row r="23" spans="1:7" ht="13.5">
      <c r="A23" s="160" t="s">
        <v>79</v>
      </c>
      <c r="B23" s="162" t="s">
        <v>37</v>
      </c>
      <c r="C23" s="164">
        <f>IF(B23="Yes",MIN(C20*0.05,200),0)</f>
        <v>0</v>
      </c>
      <c r="D23" s="562"/>
      <c r="E23" s="160"/>
      <c r="F23" s="163"/>
      <c r="G23" s="164"/>
    </row>
    <row r="24" spans="1:13" ht="13.5">
      <c r="A24" s="160" t="s">
        <v>144</v>
      </c>
      <c r="B24" s="162" t="s">
        <v>37</v>
      </c>
      <c r="C24" s="164">
        <f>IF(B24="Yes",C20*(1/3),0)</f>
        <v>0</v>
      </c>
      <c r="D24" s="562"/>
      <c r="E24" s="160"/>
      <c r="F24" s="163"/>
      <c r="G24" s="164"/>
      <c r="J24" s="203"/>
      <c r="K24" s="203"/>
      <c r="L24" s="203"/>
      <c r="M24" s="203"/>
    </row>
    <row r="25" spans="1:7" ht="13.5">
      <c r="A25" s="177" t="s">
        <v>166</v>
      </c>
      <c r="B25" s="163"/>
      <c r="C25" s="164">
        <f>C20-SUM(C22:C24)</f>
        <v>25642.759999999995</v>
      </c>
      <c r="D25" s="562"/>
      <c r="E25" s="160"/>
      <c r="F25" s="163"/>
      <c r="G25" s="164"/>
    </row>
    <row r="26" spans="1:7" ht="13.5">
      <c r="A26" s="160" t="s">
        <v>145</v>
      </c>
      <c r="B26" s="171">
        <v>0</v>
      </c>
      <c r="C26" s="164">
        <f>(C25-C27)*B26</f>
        <v>0</v>
      </c>
      <c r="D26" s="562"/>
      <c r="E26" s="177"/>
      <c r="F26" s="163"/>
      <c r="G26" s="164"/>
    </row>
    <row r="27" spans="1:7" ht="13.5">
      <c r="A27" s="43" t="s">
        <v>85</v>
      </c>
      <c r="B27" s="272">
        <v>0.5</v>
      </c>
      <c r="C27" s="164">
        <f>(C14+C15)*B27</f>
        <v>9862.599999999999</v>
      </c>
      <c r="D27" s="562"/>
      <c r="E27" s="177"/>
      <c r="F27" s="163"/>
      <c r="G27" s="164"/>
    </row>
    <row r="28" spans="1:13" s="155" customFormat="1" ht="14.25" customHeight="1">
      <c r="A28" s="126" t="s">
        <v>226</v>
      </c>
      <c r="B28" s="171">
        <v>0.2</v>
      </c>
      <c r="C28" s="28"/>
      <c r="D28" s="562"/>
      <c r="E28" s="43"/>
      <c r="F28" s="177"/>
      <c r="G28" s="163"/>
      <c r="H28" s="333"/>
      <c r="K28" s="41"/>
      <c r="L28" s="41"/>
      <c r="M28" s="41"/>
    </row>
    <row r="29" spans="1:7" ht="13.5">
      <c r="A29" s="43" t="s">
        <v>225</v>
      </c>
      <c r="B29" s="50">
        <v>0.05</v>
      </c>
      <c r="C29" s="44">
        <f>C16*B29</f>
        <v>295.87799999999993</v>
      </c>
      <c r="D29" s="562"/>
      <c r="E29" s="177"/>
      <c r="F29" s="163"/>
      <c r="G29" s="164"/>
    </row>
    <row r="30" spans="1:11" ht="13.5">
      <c r="A30" s="624" t="s">
        <v>86</v>
      </c>
      <c r="B30" s="624"/>
      <c r="C30" s="273">
        <f>C25-C26-C27-C29</f>
        <v>15484.281999999996</v>
      </c>
      <c r="D30" s="562"/>
      <c r="E30" s="555" t="s">
        <v>87</v>
      </c>
      <c r="F30" s="555"/>
      <c r="G30" s="164">
        <f>G19-G20+G27</f>
        <v>22169</v>
      </c>
      <c r="K30" s="274"/>
    </row>
    <row r="31" spans="1:11" ht="15" customHeight="1">
      <c r="A31" s="180"/>
      <c r="B31" s="180"/>
      <c r="C31" s="180"/>
      <c r="D31" s="180"/>
      <c r="E31" s="180"/>
      <c r="F31" s="180"/>
      <c r="G31" s="180"/>
      <c r="K31" s="269"/>
    </row>
    <row r="32" spans="1:7" ht="14.25" customHeight="1">
      <c r="A32" s="506"/>
      <c r="B32" s="621" t="s">
        <v>90</v>
      </c>
      <c r="C32" s="621"/>
      <c r="D32" s="621"/>
      <c r="E32" s="275" t="s">
        <v>88</v>
      </c>
      <c r="F32" s="276" t="s">
        <v>89</v>
      </c>
      <c r="G32" s="66" t="s">
        <v>38</v>
      </c>
    </row>
    <row r="33" spans="1:7" ht="13.5">
      <c r="A33" s="506"/>
      <c r="B33" s="621"/>
      <c r="C33" s="621"/>
      <c r="D33" s="160"/>
      <c r="E33" s="277">
        <f>C30</f>
        <v>15484.281999999996</v>
      </c>
      <c r="F33" s="164">
        <f>G30</f>
        <v>22169</v>
      </c>
      <c r="G33" s="170">
        <f>SUM(E33:F33)</f>
        <v>37653.28199999999</v>
      </c>
    </row>
    <row r="34" spans="1:7" ht="13.5">
      <c r="A34" s="506"/>
      <c r="B34" s="576" t="s">
        <v>146</v>
      </c>
      <c r="C34" s="576"/>
      <c r="D34" s="576"/>
      <c r="E34" s="273">
        <f>(E33+G15+G17)*0.18</f>
        <v>2796.170759999999</v>
      </c>
      <c r="F34" s="273">
        <f>(F33-G15-G17)*0.18</f>
        <v>3981.42</v>
      </c>
      <c r="G34" s="273">
        <f>SUM(E34:F34)</f>
        <v>6777.590759999999</v>
      </c>
    </row>
    <row r="35" spans="1:13" s="155" customFormat="1" ht="13.5">
      <c r="A35" s="506"/>
      <c r="B35" s="622" t="s">
        <v>176</v>
      </c>
      <c r="C35" s="622"/>
      <c r="D35" s="622"/>
      <c r="E35" s="179">
        <f>SUM(E33:E34)</f>
        <v>18280.452759999993</v>
      </c>
      <c r="F35" s="179">
        <f>SUM(F33:F34)</f>
        <v>26150.42</v>
      </c>
      <c r="G35" s="170">
        <f>SUM(G33:G34)</f>
        <v>44430.87275999999</v>
      </c>
      <c r="L35" s="278"/>
      <c r="M35" s="278"/>
    </row>
    <row r="36" spans="1:13" s="155" customFormat="1" ht="13.5">
      <c r="A36" s="185"/>
      <c r="B36" s="185"/>
      <c r="C36" s="185"/>
      <c r="D36" s="185"/>
      <c r="E36" s="185"/>
      <c r="F36" s="185"/>
      <c r="G36" s="279"/>
      <c r="L36" s="278"/>
      <c r="M36" s="278"/>
    </row>
    <row r="37" spans="1:13" s="155" customFormat="1" ht="13.5">
      <c r="A37" s="185"/>
      <c r="B37" s="185"/>
      <c r="C37" s="185"/>
      <c r="E37" s="280"/>
      <c r="F37" s="185"/>
      <c r="G37" s="185"/>
      <c r="L37" s="278"/>
      <c r="M37" s="278"/>
    </row>
    <row r="38" spans="1:13" s="155" customFormat="1" ht="13.5">
      <c r="A38" s="626" t="s">
        <v>179</v>
      </c>
      <c r="B38" s="626"/>
      <c r="C38" s="626"/>
      <c r="L38" s="278"/>
      <c r="M38" s="278"/>
    </row>
    <row r="39" spans="1:13" s="155" customFormat="1" ht="13.5">
      <c r="A39" s="626" t="s">
        <v>180</v>
      </c>
      <c r="B39" s="626"/>
      <c r="C39" s="281">
        <v>0.1</v>
      </c>
      <c r="L39" s="278"/>
      <c r="M39" s="278"/>
    </row>
    <row r="40" spans="1:13" s="155" customFormat="1" ht="13.5">
      <c r="A40" s="626" t="s">
        <v>181</v>
      </c>
      <c r="B40" s="626"/>
      <c r="C40" s="281">
        <v>0.2</v>
      </c>
      <c r="L40" s="278"/>
      <c r="M40" s="278"/>
    </row>
    <row r="41" spans="1:7" ht="12.75" customHeight="1">
      <c r="A41" s="626" t="s">
        <v>182</v>
      </c>
      <c r="B41" s="626"/>
      <c r="C41" s="281">
        <v>0.3</v>
      </c>
      <c r="D41" s="155"/>
      <c r="E41" s="155"/>
      <c r="F41" s="155"/>
      <c r="G41" s="155"/>
    </row>
    <row r="42" spans="1:7" ht="13.5">
      <c r="A42" s="626"/>
      <c r="B42" s="626"/>
      <c r="C42" s="281"/>
      <c r="D42" s="282"/>
      <c r="E42" s="155"/>
      <c r="F42" s="155"/>
      <c r="G42" s="155"/>
    </row>
    <row r="43" spans="1:7" ht="12.75" customHeight="1">
      <c r="A43" s="620" t="s">
        <v>183</v>
      </c>
      <c r="B43" s="620"/>
      <c r="C43" s="620"/>
      <c r="E43" s="282"/>
      <c r="F43" s="282"/>
      <c r="G43" s="282"/>
    </row>
    <row r="52" ht="13.5" hidden="1"/>
    <row r="53" ht="13.5" hidden="1"/>
    <row r="54" ht="13.5" hidden="1"/>
    <row r="55" spans="1:2" ht="13.5" hidden="1">
      <c r="A55" s="73" t="s">
        <v>92</v>
      </c>
      <c r="B55" s="73" t="s">
        <v>93</v>
      </c>
    </row>
    <row r="56" spans="1:2" ht="13.5" hidden="1">
      <c r="A56" s="73" t="b">
        <f>IF(B17="Yes",IF(B56=0,4.5%,IF(B56=1,5.5%,IF(B56=2,7%,0))))</f>
        <v>0</v>
      </c>
      <c r="B56" s="74">
        <f ca="1">YEAR(TODAY())-(G6)</f>
        <v>3</v>
      </c>
    </row>
    <row r="57" ht="13.5" hidden="1"/>
  </sheetData>
  <sheetProtection password="CEED" sheet="1"/>
  <mergeCells count="29">
    <mergeCell ref="A39:B39"/>
    <mergeCell ref="A40:B40"/>
    <mergeCell ref="A41:B41"/>
    <mergeCell ref="A42:B42"/>
    <mergeCell ref="A43:C43"/>
    <mergeCell ref="A32:A35"/>
    <mergeCell ref="B32:D32"/>
    <mergeCell ref="B33:C33"/>
    <mergeCell ref="B34:D34"/>
    <mergeCell ref="B35:D35"/>
    <mergeCell ref="A38:C38"/>
    <mergeCell ref="A9:G9"/>
    <mergeCell ref="A10:C10"/>
    <mergeCell ref="D10:D30"/>
    <mergeCell ref="E10:G10"/>
    <mergeCell ref="A30:B30"/>
    <mergeCell ref="E30:F30"/>
    <mergeCell ref="A6:B6"/>
    <mergeCell ref="E6:F6"/>
    <mergeCell ref="A7:B7"/>
    <mergeCell ref="E7:F7"/>
    <mergeCell ref="A8:B8"/>
    <mergeCell ref="E8:F8"/>
    <mergeCell ref="A1:G1"/>
    <mergeCell ref="A2:G2"/>
    <mergeCell ref="I2:J3"/>
    <mergeCell ref="B3:G3"/>
    <mergeCell ref="B4:G4"/>
    <mergeCell ref="A5:G5"/>
  </mergeCells>
  <dataValidations count="8">
    <dataValidation type="list" allowBlank="1" showErrorMessage="1" sqref="B16">
      <formula1>"0%,10%,20%,30%,"</formula1>
    </dataValidation>
    <dataValidation type="list" allowBlank="1" showErrorMessage="1" sqref="G8">
      <formula1>"A,B,C"</formula1>
      <formula2>0</formula2>
    </dataValidation>
    <dataValidation errorStyle="warning" type="list" allowBlank="1" showErrorMessage="1" sqref="B15">
      <formula1>"Yes,No"</formula1>
      <formula2>0</formula2>
    </dataValidation>
    <dataValidation type="list" allowBlank="1" showErrorMessage="1" sqref="F20">
      <formula1>"750000,6000"</formula1>
      <formula2>0</formula2>
    </dataValidation>
    <dataValidation type="list" allowBlank="1" showErrorMessage="1" sqref="B26">
      <formula1>"0%,20%,25%,35%,45%,50%,"</formula1>
      <formula2>0</formula2>
    </dataValidation>
    <dataValidation type="list" allowBlank="1" showErrorMessage="1" sqref="B13 F15 B17:B19 F17 B22:B24">
      <formula1>"Yes,No"</formula1>
      <formula2>0</formula2>
    </dataValidation>
    <dataValidation type="list" allowBlank="1" showErrorMessage="1" sqref="B29">
      <formula1>"0%,5%"</formula1>
    </dataValidation>
    <dataValidation type="list" allowBlank="1" showErrorMessage="1" sqref="B28">
      <formula1>"0,20%"</formula1>
    </dataValidation>
  </dataValidations>
  <hyperlinks>
    <hyperlink ref="I2" location="HyperLink!A1" display="Back to Hyperlink"/>
  </hyperlinks>
  <printOptions/>
  <pageMargins left="0.9097222222222222" right="0.4701388888888889" top="0.9840277777777777" bottom="0.9840277777777777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3">
      <selection activeCell="E19" sqref="E19"/>
    </sheetView>
  </sheetViews>
  <sheetFormatPr defaultColWidth="9.140625" defaultRowHeight="12.75"/>
  <cols>
    <col min="1" max="1" width="28.421875" style="318" customWidth="1"/>
    <col min="2" max="2" width="7.28125" style="319" customWidth="1"/>
    <col min="3" max="3" width="10.421875" style="320" customWidth="1"/>
    <col min="4" max="4" width="3.140625" style="318" customWidth="1"/>
    <col min="5" max="5" width="23.7109375" style="318" customWidth="1"/>
    <col min="6" max="6" width="9.8515625" style="319" customWidth="1"/>
    <col min="7" max="7" width="11.421875" style="320" customWidth="1"/>
    <col min="8" max="8" width="10.28125" style="318" customWidth="1"/>
    <col min="9" max="9" width="9.8515625" style="318" customWidth="1"/>
    <col min="10" max="10" width="19.8515625" style="318" customWidth="1"/>
    <col min="11" max="16384" width="9.140625" style="318" customWidth="1"/>
  </cols>
  <sheetData>
    <row r="1" spans="1:7" ht="13.5">
      <c r="A1" s="629" t="s">
        <v>0</v>
      </c>
      <c r="B1" s="629"/>
      <c r="C1" s="629"/>
      <c r="D1" s="629"/>
      <c r="E1" s="629"/>
      <c r="F1" s="629"/>
      <c r="G1" s="629"/>
    </row>
    <row r="2" spans="1:9" ht="15">
      <c r="A2" s="630" t="s">
        <v>245</v>
      </c>
      <c r="B2" s="630"/>
      <c r="C2" s="630" t="s">
        <v>93</v>
      </c>
      <c r="D2" s="630"/>
      <c r="E2" s="630"/>
      <c r="F2" s="630"/>
      <c r="G2" s="630"/>
      <c r="I2" s="582" t="s">
        <v>28</v>
      </c>
    </row>
    <row r="3" spans="1:9" ht="15">
      <c r="A3" s="30" t="s">
        <v>128</v>
      </c>
      <c r="B3" s="513"/>
      <c r="C3" s="513"/>
      <c r="D3" s="513"/>
      <c r="E3" s="513"/>
      <c r="F3" s="513"/>
      <c r="G3" s="513"/>
      <c r="I3" s="582"/>
    </row>
    <row r="4" spans="1:7" ht="15">
      <c r="A4" s="30" t="s">
        <v>45</v>
      </c>
      <c r="B4" s="513"/>
      <c r="C4" s="513"/>
      <c r="D4" s="513"/>
      <c r="E4" s="513"/>
      <c r="F4" s="513"/>
      <c r="G4" s="513"/>
    </row>
    <row r="5" spans="1:7" ht="13.5">
      <c r="A5" s="504" t="s">
        <v>46</v>
      </c>
      <c r="B5" s="504"/>
      <c r="C5" s="504"/>
      <c r="D5" s="504"/>
      <c r="E5" s="504"/>
      <c r="F5" s="504"/>
      <c r="G5" s="504"/>
    </row>
    <row r="6" spans="1:7" ht="13.5">
      <c r="A6" s="509" t="s">
        <v>148</v>
      </c>
      <c r="B6" s="509"/>
      <c r="C6" s="321">
        <v>0</v>
      </c>
      <c r="D6" s="509"/>
      <c r="E6" s="509" t="s">
        <v>53</v>
      </c>
      <c r="F6" s="509"/>
      <c r="G6" s="322">
        <v>2011</v>
      </c>
    </row>
    <row r="7" spans="1:9" ht="13.5">
      <c r="A7" s="509" t="s">
        <v>60</v>
      </c>
      <c r="B7" s="509"/>
      <c r="C7" s="321">
        <v>0</v>
      </c>
      <c r="D7" s="509"/>
      <c r="E7" s="509" t="s">
        <v>202</v>
      </c>
      <c r="F7" s="509"/>
      <c r="G7" s="322" t="s">
        <v>199</v>
      </c>
      <c r="I7" s="323"/>
    </row>
    <row r="8" spans="1:9" ht="13.5">
      <c r="A8" s="509" t="s">
        <v>150</v>
      </c>
      <c r="B8" s="509"/>
      <c r="C8" s="321">
        <v>0</v>
      </c>
      <c r="D8" s="509"/>
      <c r="E8" s="528" t="s">
        <v>48</v>
      </c>
      <c r="F8" s="528"/>
      <c r="G8" s="123" t="s">
        <v>151</v>
      </c>
      <c r="I8" s="323"/>
    </row>
    <row r="9" spans="1:9" ht="13.5">
      <c r="A9" s="627" t="s">
        <v>152</v>
      </c>
      <c r="B9" s="627"/>
      <c r="C9" s="627"/>
      <c r="D9" s="627"/>
      <c r="E9" s="627"/>
      <c r="F9" s="627"/>
      <c r="G9" s="627"/>
      <c r="I9" s="323"/>
    </row>
    <row r="10" spans="1:9" ht="13.5">
      <c r="A10" s="527" t="s">
        <v>56</v>
      </c>
      <c r="B10" s="527"/>
      <c r="C10" s="527"/>
      <c r="D10" s="628"/>
      <c r="E10" s="527" t="s">
        <v>57</v>
      </c>
      <c r="F10" s="527"/>
      <c r="G10" s="527"/>
      <c r="I10" s="323"/>
    </row>
    <row r="11" spans="1:9" ht="13.5">
      <c r="A11" s="33" t="s">
        <v>153</v>
      </c>
      <c r="B11" s="36"/>
      <c r="C11" s="325">
        <f>Database!J25</f>
        <v>0</v>
      </c>
      <c r="D11" s="628"/>
      <c r="E11" s="33" t="s">
        <v>99</v>
      </c>
      <c r="F11" s="36"/>
      <c r="G11" s="325">
        <f>Database!J26</f>
        <v>7267</v>
      </c>
      <c r="I11" s="323"/>
    </row>
    <row r="12" spans="1:9" ht="13.5">
      <c r="A12" s="33" t="s">
        <v>60</v>
      </c>
      <c r="B12" s="36"/>
      <c r="C12" s="325">
        <f>C7*0.04</f>
        <v>0</v>
      </c>
      <c r="D12" s="628"/>
      <c r="E12" s="33" t="s">
        <v>109</v>
      </c>
      <c r="F12" s="36" t="s">
        <v>62</v>
      </c>
      <c r="G12" s="325">
        <f>IF(F12="Yes",2485,0)</f>
        <v>2485</v>
      </c>
      <c r="I12" s="323"/>
    </row>
    <row r="13" spans="1:9" ht="13.5">
      <c r="A13" s="33" t="s">
        <v>156</v>
      </c>
      <c r="B13" s="36"/>
      <c r="C13" s="325">
        <f>IF(C8&gt;0,4%*C8,0)</f>
        <v>0</v>
      </c>
      <c r="D13" s="628"/>
      <c r="E13" s="33" t="s">
        <v>156</v>
      </c>
      <c r="F13" s="36"/>
      <c r="G13" s="325">
        <f>IF(C8&gt;0,60,0)</f>
        <v>0</v>
      </c>
      <c r="I13" s="323"/>
    </row>
    <row r="14" spans="1:9" ht="13.5">
      <c r="A14" s="128" t="s">
        <v>65</v>
      </c>
      <c r="B14" s="36"/>
      <c r="C14" s="325">
        <f>SUM(C11-C12+C13)</f>
        <v>0</v>
      </c>
      <c r="D14" s="628"/>
      <c r="E14" s="128" t="s">
        <v>157</v>
      </c>
      <c r="F14" s="129"/>
      <c r="G14" s="325">
        <f>SUM(G11:G12)</f>
        <v>9752</v>
      </c>
      <c r="I14" s="323"/>
    </row>
    <row r="15" spans="1:9" ht="13.5">
      <c r="A15" s="33" t="s">
        <v>158</v>
      </c>
      <c r="B15" s="36" t="s">
        <v>37</v>
      </c>
      <c r="C15" s="325">
        <f>IF(B15="Yes",(C11+C12+C13+C18+C17)*0.15,IF(B15="No",0))</f>
        <v>0</v>
      </c>
      <c r="D15" s="628"/>
      <c r="E15" s="33" t="s">
        <v>136</v>
      </c>
      <c r="F15" s="36" t="s">
        <v>62</v>
      </c>
      <c r="G15" s="325">
        <f>IF(F15="Yes",50*F16,0)</f>
        <v>100</v>
      </c>
      <c r="I15" s="323"/>
    </row>
    <row r="16" spans="1:9" ht="13.5">
      <c r="A16" s="326" t="s">
        <v>137</v>
      </c>
      <c r="B16" s="268" t="s">
        <v>37</v>
      </c>
      <c r="C16" s="327">
        <f>C6*A54/10</f>
        <v>0</v>
      </c>
      <c r="D16" s="628"/>
      <c r="E16" s="33" t="s">
        <v>159</v>
      </c>
      <c r="F16" s="36">
        <v>2</v>
      </c>
      <c r="G16" s="325"/>
      <c r="I16" s="323"/>
    </row>
    <row r="17" spans="1:9" ht="13.5">
      <c r="A17" s="33" t="s">
        <v>70</v>
      </c>
      <c r="B17" s="36" t="s">
        <v>37</v>
      </c>
      <c r="C17" s="325">
        <f>IF(B17="Yes",500,0)</f>
        <v>0</v>
      </c>
      <c r="D17" s="628"/>
      <c r="E17" s="328" t="s">
        <v>161</v>
      </c>
      <c r="F17" s="36" t="s">
        <v>199</v>
      </c>
      <c r="G17" s="325">
        <f>IF(F17="Ambulance",F18*60,IF(F17="No",0,F18*60))</f>
        <v>0</v>
      </c>
      <c r="I17" s="323"/>
    </row>
    <row r="18" spans="1:9" ht="13.5">
      <c r="A18" s="33" t="s">
        <v>203</v>
      </c>
      <c r="B18" s="36" t="s">
        <v>37</v>
      </c>
      <c r="C18" s="325">
        <f>IF(B18="Yes",MAX(100,C6*0.5%),0)</f>
        <v>0</v>
      </c>
      <c r="D18" s="628"/>
      <c r="E18" s="33" t="s">
        <v>169</v>
      </c>
      <c r="F18" s="36">
        <v>0</v>
      </c>
      <c r="G18" s="325"/>
      <c r="I18" s="323"/>
    </row>
    <row r="19" spans="1:9" ht="13.5">
      <c r="A19" s="33" t="s">
        <v>140</v>
      </c>
      <c r="B19" s="36" t="s">
        <v>37</v>
      </c>
      <c r="C19" s="325">
        <f>IF(B19="Yes",50,0)</f>
        <v>0</v>
      </c>
      <c r="D19" s="628"/>
      <c r="E19" s="33" t="s">
        <v>204</v>
      </c>
      <c r="F19" s="36" t="s">
        <v>37</v>
      </c>
      <c r="G19" s="325">
        <f>IF(F19="Yes",320,0)</f>
        <v>0</v>
      </c>
      <c r="I19" s="323"/>
    </row>
    <row r="20" spans="1:9" ht="13.5">
      <c r="A20" s="33" t="s">
        <v>205</v>
      </c>
      <c r="B20" s="36" t="s">
        <v>37</v>
      </c>
      <c r="C20" s="325">
        <f>IF(B20="Yes",0.25*C14,0)</f>
        <v>0</v>
      </c>
      <c r="D20" s="628"/>
      <c r="E20" s="33" t="s">
        <v>206</v>
      </c>
      <c r="F20" s="36">
        <v>0</v>
      </c>
      <c r="G20" s="325">
        <f>F20*50</f>
        <v>0</v>
      </c>
      <c r="I20" s="323"/>
    </row>
    <row r="21" spans="1:9" ht="13.5">
      <c r="A21" s="33" t="s">
        <v>141</v>
      </c>
      <c r="B21" s="36" t="s">
        <v>37</v>
      </c>
      <c r="C21" s="325">
        <f>IF(B21="Yes",C14*0.6,0)</f>
        <v>0</v>
      </c>
      <c r="D21" s="628"/>
      <c r="E21" s="33" t="s">
        <v>205</v>
      </c>
      <c r="F21" s="36">
        <v>0</v>
      </c>
      <c r="G21" s="325">
        <f>IF(C20=0,0,0.25*G14)</f>
        <v>0</v>
      </c>
      <c r="I21" s="323"/>
    </row>
    <row r="22" spans="1:7" ht="13.5">
      <c r="A22" s="128" t="s">
        <v>142</v>
      </c>
      <c r="B22" s="36"/>
      <c r="C22" s="325">
        <f>SUM(C14:C21)</f>
        <v>0</v>
      </c>
      <c r="D22" s="628"/>
      <c r="E22" s="128" t="s">
        <v>164</v>
      </c>
      <c r="F22" s="36"/>
      <c r="G22" s="325">
        <f>SUM(G14,G15,G17,G19,G20)</f>
        <v>9852</v>
      </c>
    </row>
    <row r="23" spans="1:7" ht="13.5">
      <c r="A23" s="33" t="s">
        <v>165</v>
      </c>
      <c r="B23" s="36"/>
      <c r="C23" s="325"/>
      <c r="D23" s="628"/>
      <c r="E23" s="33" t="s">
        <v>118</v>
      </c>
      <c r="F23" s="36">
        <v>750000</v>
      </c>
      <c r="G23" s="325">
        <f>IF(F23=750000,0,200)</f>
        <v>0</v>
      </c>
    </row>
    <row r="24" spans="1:7" ht="13.5">
      <c r="A24" s="33" t="s">
        <v>117</v>
      </c>
      <c r="B24" s="36" t="s">
        <v>37</v>
      </c>
      <c r="C24" s="325">
        <f>IF(B24="Yes",MIN(C22*0.025,500),0)</f>
        <v>0</v>
      </c>
      <c r="D24" s="628"/>
      <c r="E24" s="128"/>
      <c r="F24" s="36"/>
      <c r="G24" s="325"/>
    </row>
    <row r="25" spans="1:7" ht="13.5">
      <c r="A25" s="33" t="s">
        <v>79</v>
      </c>
      <c r="B25" s="36" t="s">
        <v>37</v>
      </c>
      <c r="C25" s="325">
        <f>IF(B25="Yes",MIN(C22*0.05,200),0)</f>
        <v>0</v>
      </c>
      <c r="D25" s="628"/>
      <c r="E25" s="128"/>
      <c r="F25" s="36"/>
      <c r="G25" s="325"/>
    </row>
    <row r="26" spans="1:10" ht="13.5">
      <c r="A26" s="33" t="s">
        <v>144</v>
      </c>
      <c r="B26" s="36" t="s">
        <v>37</v>
      </c>
      <c r="C26" s="325">
        <f>IF(B26="Yes",C22*(1/3),0)</f>
        <v>0</v>
      </c>
      <c r="D26" s="628"/>
      <c r="E26" s="128"/>
      <c r="F26" s="36"/>
      <c r="G26" s="325"/>
      <c r="I26" s="329"/>
      <c r="J26" s="329"/>
    </row>
    <row r="27" spans="1:7" s="329" customFormat="1" ht="13.5">
      <c r="A27" s="128" t="s">
        <v>166</v>
      </c>
      <c r="B27" s="36"/>
      <c r="C27" s="325">
        <f>C11+C15+C16+C18</f>
        <v>0</v>
      </c>
      <c r="D27" s="628"/>
      <c r="E27" s="330"/>
      <c r="F27" s="166"/>
      <c r="G27" s="266"/>
    </row>
    <row r="28" spans="1:10" s="329" customFormat="1" ht="13.5">
      <c r="A28" s="33" t="s">
        <v>145</v>
      </c>
      <c r="B28" s="50">
        <v>0.2</v>
      </c>
      <c r="C28" s="325">
        <f>(C14+C15-C29)*B28</f>
        <v>0</v>
      </c>
      <c r="D28" s="628"/>
      <c r="E28" s="128"/>
      <c r="F28" s="36"/>
      <c r="G28" s="325"/>
      <c r="I28" s="318"/>
      <c r="J28" s="318"/>
    </row>
    <row r="29" spans="1:7" ht="13.5">
      <c r="A29" s="33" t="s">
        <v>85</v>
      </c>
      <c r="B29" s="272">
        <v>0.55</v>
      </c>
      <c r="C29" s="331">
        <f>(C11+C15)*B29</f>
        <v>0</v>
      </c>
      <c r="D29" s="628"/>
      <c r="E29" s="128"/>
      <c r="F29" s="36"/>
      <c r="G29" s="325"/>
    </row>
    <row r="30" spans="1:7" ht="13.5">
      <c r="A30" s="128" t="s">
        <v>86</v>
      </c>
      <c r="B30" s="129"/>
      <c r="C30" s="332">
        <f>C27-C28-C29</f>
        <v>0</v>
      </c>
      <c r="D30" s="628"/>
      <c r="E30" s="128" t="s">
        <v>87</v>
      </c>
      <c r="F30" s="129"/>
      <c r="G30" s="331">
        <f>G22-G23+G27</f>
        <v>9852</v>
      </c>
    </row>
    <row r="31" spans="1:7" ht="13.5">
      <c r="A31" s="329"/>
      <c r="B31" s="333"/>
      <c r="C31" s="334"/>
      <c r="E31" s="329"/>
      <c r="F31" s="333"/>
      <c r="G31" s="334"/>
    </row>
    <row r="33" spans="2:7" ht="13.5">
      <c r="B33" s="527" t="s">
        <v>90</v>
      </c>
      <c r="C33" s="527"/>
      <c r="D33" s="527"/>
      <c r="E33" s="324" t="s">
        <v>88</v>
      </c>
      <c r="F33" s="65" t="s">
        <v>89</v>
      </c>
      <c r="G33" s="335" t="s">
        <v>38</v>
      </c>
    </row>
    <row r="34" spans="2:8" ht="13.5">
      <c r="B34" s="32"/>
      <c r="C34" s="336"/>
      <c r="D34" s="128"/>
      <c r="E34" s="337">
        <f>C30</f>
        <v>0</v>
      </c>
      <c r="F34" s="338">
        <f>G30</f>
        <v>9852</v>
      </c>
      <c r="G34" s="325">
        <f>SUM(E34:F34)</f>
        <v>9852</v>
      </c>
      <c r="H34" s="339"/>
    </row>
    <row r="35" spans="2:7" ht="13.5">
      <c r="B35" s="576" t="s">
        <v>146</v>
      </c>
      <c r="C35" s="576"/>
      <c r="D35" s="576"/>
      <c r="E35" s="337">
        <f>E34*0.18</f>
        <v>0</v>
      </c>
      <c r="F35" s="337">
        <f>F34*0.18</f>
        <v>1773.36</v>
      </c>
      <c r="G35" s="68">
        <f>SUM(E35:F35)</f>
        <v>1773.36</v>
      </c>
    </row>
    <row r="36" spans="2:7" ht="13.5">
      <c r="B36" s="527" t="s">
        <v>176</v>
      </c>
      <c r="C36" s="527"/>
      <c r="D36" s="527"/>
      <c r="E36" s="340">
        <f>SUM(E34:E35)</f>
        <v>0</v>
      </c>
      <c r="F36" s="341">
        <f>SUM(F34:F35)</f>
        <v>11625.36</v>
      </c>
      <c r="G36" s="331">
        <f>SUM(G34:G35)</f>
        <v>11625.36</v>
      </c>
    </row>
    <row r="37" spans="2:4" ht="13.5">
      <c r="B37" s="136"/>
      <c r="C37" s="342"/>
      <c r="D37" s="339"/>
    </row>
    <row r="38" spans="2:4" ht="13.5">
      <c r="B38" s="136"/>
      <c r="C38" s="342"/>
      <c r="D38" s="339"/>
    </row>
    <row r="39" spans="2:4" ht="13.5">
      <c r="B39" s="136"/>
      <c r="C39" s="342"/>
      <c r="D39" s="339"/>
    </row>
    <row r="40" spans="2:4" ht="13.5">
      <c r="B40" s="136"/>
      <c r="C40" s="342"/>
      <c r="D40" s="339"/>
    </row>
    <row r="41" spans="2:4" ht="13.5">
      <c r="B41" s="136"/>
      <c r="C41" s="342"/>
      <c r="D41" s="339"/>
    </row>
    <row r="42" spans="2:4" ht="13.5">
      <c r="B42" s="136"/>
      <c r="C42" s="342"/>
      <c r="D42" s="339"/>
    </row>
    <row r="43" spans="2:3" ht="13.5">
      <c r="B43" s="136"/>
      <c r="C43" s="342"/>
    </row>
    <row r="52" ht="13.5" hidden="1"/>
    <row r="53" spans="1:2" ht="13.5" hidden="1">
      <c r="A53" s="343" t="s">
        <v>92</v>
      </c>
      <c r="B53" s="73" t="s">
        <v>93</v>
      </c>
    </row>
    <row r="54" spans="1:2" ht="13.5" hidden="1">
      <c r="A54" s="344" t="b">
        <f>IF(B16="Yes",IF(B54=0,4.5%,IF(B54=1,5.5%,IF(B54=2,7%,0))))</f>
        <v>0</v>
      </c>
      <c r="B54" s="74">
        <f ca="1">YEAR(TODAY())-(G6)</f>
        <v>11</v>
      </c>
    </row>
    <row r="55" ht="13.5" hidden="1"/>
  </sheetData>
  <sheetProtection password="CEED" sheet="1"/>
  <mergeCells count="20">
    <mergeCell ref="A1:G1"/>
    <mergeCell ref="A2:G2"/>
    <mergeCell ref="I2:I3"/>
    <mergeCell ref="B3:G3"/>
    <mergeCell ref="B4:G4"/>
    <mergeCell ref="A5:G5"/>
    <mergeCell ref="A6:B6"/>
    <mergeCell ref="D6:D8"/>
    <mergeCell ref="E6:F6"/>
    <mergeCell ref="A7:B7"/>
    <mergeCell ref="E7:F7"/>
    <mergeCell ref="A8:B8"/>
    <mergeCell ref="E8:F8"/>
    <mergeCell ref="B36:D36"/>
    <mergeCell ref="A9:G9"/>
    <mergeCell ref="A10:C10"/>
    <mergeCell ref="D10:D30"/>
    <mergeCell ref="E10:G10"/>
    <mergeCell ref="B33:D33"/>
    <mergeCell ref="B35:D35"/>
  </mergeCells>
  <dataValidations count="7">
    <dataValidation type="list" allowBlank="1" showErrorMessage="1" sqref="F12 F15 B16:B21 B24:B26">
      <formula1>"Yes,No"</formula1>
      <formula2>0</formula2>
    </dataValidation>
    <dataValidation type="list" allowBlank="1" showErrorMessage="1" sqref="B15 F19">
      <formula1>"No,Yes"</formula1>
      <formula2>0</formula2>
    </dataValidation>
    <dataValidation type="list" allowBlank="1" showErrorMessage="1" sqref="F17">
      <formula1>"Ambulance,Others"</formula1>
      <formula2>0</formula2>
    </dataValidation>
    <dataValidation type="list" allowBlank="1" showErrorMessage="1" sqref="F23">
      <formula1>"750000,6000"</formula1>
      <formula2>0</formula2>
    </dataValidation>
    <dataValidation type="list" allowBlank="1" showErrorMessage="1" sqref="B28">
      <formula1>"0%,20%,25%,35%,45%,50%,55%,65%"</formula1>
      <formula2>0</formula2>
    </dataValidation>
    <dataValidation type="list" allowBlank="1" showErrorMessage="1" sqref="G8">
      <formula1>"A,B,C"</formula1>
      <formula2>0</formula2>
    </dataValidation>
    <dataValidation type="list" allowBlank="1" showErrorMessage="1" sqref="G7">
      <formula1>"Tractors under 6 HP,Others"</formula1>
      <formula2>0</formula2>
    </dataValidation>
  </dataValidations>
  <hyperlinks>
    <hyperlink ref="I2" location="HyperLink!A1" display="BACK"/>
  </hyperlinks>
  <printOptions/>
  <pageMargins left="0.7479166666666667" right="0.30972222222222223" top="0.9840277777777777" bottom="0.9840277777777777" header="0.5118055555555555" footer="0.511805555555555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6"/>
  <sheetViews>
    <sheetView zoomScale="124" zoomScaleNormal="124" zoomScalePageLayoutView="0" workbookViewId="0" topLeftCell="A7">
      <selection activeCell="G22" sqref="G22"/>
    </sheetView>
  </sheetViews>
  <sheetFormatPr defaultColWidth="9.140625" defaultRowHeight="12.75"/>
  <cols>
    <col min="1" max="1" width="13.140625" style="209" customWidth="1"/>
    <col min="2" max="5" width="9.140625" style="209" customWidth="1"/>
    <col min="6" max="6" width="17.8515625" style="209" customWidth="1"/>
    <col min="7" max="7" width="12.28125" style="209" customWidth="1"/>
    <col min="8" max="8" width="9.140625" style="209" customWidth="1"/>
    <col min="9" max="9" width="12.57421875" style="209" customWidth="1"/>
    <col min="10" max="10" width="18.8515625" style="209" customWidth="1"/>
    <col min="11" max="16384" width="9.140625" style="209" customWidth="1"/>
  </cols>
  <sheetData>
    <row r="1" spans="1:7" ht="15">
      <c r="A1" s="631" t="s">
        <v>184</v>
      </c>
      <c r="B1" s="631"/>
      <c r="C1" s="631"/>
      <c r="D1" s="631"/>
      <c r="E1" s="631"/>
      <c r="F1" s="631"/>
      <c r="G1" s="631"/>
    </row>
    <row r="2" spans="1:13" ht="12.75">
      <c r="A2" s="283" t="s">
        <v>102</v>
      </c>
      <c r="B2" s="284"/>
      <c r="C2" s="284"/>
      <c r="D2" s="285"/>
      <c r="E2" s="286"/>
      <c r="F2" s="283" t="s">
        <v>104</v>
      </c>
      <c r="G2" s="285" t="s">
        <v>185</v>
      </c>
      <c r="I2" s="287" t="s">
        <v>186</v>
      </c>
      <c r="J2" s="288">
        <f>GCCV_Public!D6</f>
        <v>2050000</v>
      </c>
      <c r="L2" s="209" t="s">
        <v>104</v>
      </c>
      <c r="M2" s="289">
        <f>IF(J3&lt;=F4,G4,IF(J3&lt;=F5,G5,IF(J3&lt;=F6,G6,IF(J3&lt;=F7,G7,G8))))</f>
        <v>44242</v>
      </c>
    </row>
    <row r="3" spans="1:10" ht="12.75">
      <c r="A3" s="290" t="s">
        <v>95</v>
      </c>
      <c r="B3" s="291" t="s">
        <v>187</v>
      </c>
      <c r="C3" s="291" t="s">
        <v>188</v>
      </c>
      <c r="D3" s="292" t="s">
        <v>189</v>
      </c>
      <c r="E3" s="293"/>
      <c r="F3" s="290" t="s">
        <v>190</v>
      </c>
      <c r="G3" s="292" t="s">
        <v>191</v>
      </c>
      <c r="I3" s="294" t="s">
        <v>190</v>
      </c>
      <c r="J3" s="295">
        <f>GCCV_Public!H7</f>
        <v>41000</v>
      </c>
    </row>
    <row r="4" spans="1:10" ht="12.75">
      <c r="A4" s="294">
        <v>0</v>
      </c>
      <c r="B4" s="296">
        <v>0.01726</v>
      </c>
      <c r="C4" s="296">
        <v>0.01743</v>
      </c>
      <c r="D4" s="297">
        <v>0.01751</v>
      </c>
      <c r="E4" s="298"/>
      <c r="F4" s="299">
        <v>7500</v>
      </c>
      <c r="G4" s="464">
        <v>16049</v>
      </c>
      <c r="I4" s="294" t="s">
        <v>93</v>
      </c>
      <c r="J4" s="295">
        <f ca="1">YEAR(TODAY())-GCCV_Public!H6+1</f>
        <v>4</v>
      </c>
    </row>
    <row r="5" spans="1:10" ht="12.75">
      <c r="A5" s="300">
        <v>6</v>
      </c>
      <c r="B5" s="296">
        <v>0.0177</v>
      </c>
      <c r="C5" s="296">
        <v>0.01787</v>
      </c>
      <c r="D5" s="297">
        <v>0.01795</v>
      </c>
      <c r="E5" s="298"/>
      <c r="F5" s="299">
        <v>12000</v>
      </c>
      <c r="G5" s="464">
        <v>27186</v>
      </c>
      <c r="I5" s="294" t="s">
        <v>192</v>
      </c>
      <c r="J5" s="295">
        <f>IF(GCCV_Public!H8="c",2,IF(GCCV_Public!H8="B",3,4))</f>
        <v>2</v>
      </c>
    </row>
    <row r="6" spans="1:10" ht="12.75">
      <c r="A6" s="294">
        <v>8</v>
      </c>
      <c r="B6" s="296">
        <v>0.01812</v>
      </c>
      <c r="C6" s="296">
        <v>0.0183</v>
      </c>
      <c r="D6" s="297">
        <v>0.01839</v>
      </c>
      <c r="E6" s="298"/>
      <c r="F6" s="299">
        <v>20000</v>
      </c>
      <c r="G6" s="464">
        <v>35313</v>
      </c>
      <c r="I6" s="294" t="s">
        <v>193</v>
      </c>
      <c r="J6" s="301">
        <f>IF(J4&gt;A6,VLOOKUP(A6,A4:D6,J5),IF(J4&gt;A5,VLOOKUP(A5,A4:D6,J5),VLOOKUP(A4,A4:D6,J5)))</f>
        <v>0.01726</v>
      </c>
    </row>
    <row r="7" spans="1:10" ht="12.75">
      <c r="A7" s="294"/>
      <c r="B7" s="302"/>
      <c r="C7" s="302"/>
      <c r="D7" s="295"/>
      <c r="E7" s="298"/>
      <c r="F7" s="299">
        <v>40000</v>
      </c>
      <c r="G7" s="464">
        <v>43950</v>
      </c>
      <c r="I7" s="294" t="s">
        <v>97</v>
      </c>
      <c r="J7" s="303">
        <f>J6*J2</f>
        <v>35383</v>
      </c>
    </row>
    <row r="8" spans="1:10" ht="12.75">
      <c r="A8" s="304" t="s">
        <v>155</v>
      </c>
      <c r="B8" s="305">
        <f>27/100</f>
        <v>0.27</v>
      </c>
      <c r="C8" s="305"/>
      <c r="D8" s="306"/>
      <c r="E8" s="307"/>
      <c r="F8" s="304"/>
      <c r="G8" s="465">
        <v>44242</v>
      </c>
      <c r="I8" s="304" t="s">
        <v>155</v>
      </c>
      <c r="J8" s="308">
        <f>IF(J3&gt;12000,(J3-12000)*B8,0)</f>
        <v>7830.000000000001</v>
      </c>
    </row>
    <row r="9" ht="12">
      <c r="G9" s="309"/>
    </row>
    <row r="10" spans="1:7" ht="15">
      <c r="A10" s="631" t="s">
        <v>194</v>
      </c>
      <c r="B10" s="631"/>
      <c r="C10" s="631"/>
      <c r="D10" s="631"/>
      <c r="E10" s="631"/>
      <c r="F10" s="631"/>
      <c r="G10" s="631"/>
    </row>
    <row r="11" spans="1:13" ht="12.75">
      <c r="A11" s="283" t="s">
        <v>102</v>
      </c>
      <c r="B11" s="284"/>
      <c r="C11" s="284"/>
      <c r="D11" s="285"/>
      <c r="E11" s="286"/>
      <c r="F11" s="283" t="s">
        <v>104</v>
      </c>
      <c r="G11" s="285" t="s">
        <v>195</v>
      </c>
      <c r="I11" s="287" t="s">
        <v>186</v>
      </c>
      <c r="J11" s="288">
        <f>SUM(GCCV_Private!D6)</f>
        <v>2050000</v>
      </c>
      <c r="L11" s="209" t="s">
        <v>104</v>
      </c>
      <c r="M11" s="289">
        <f>IF(J12&lt;=F13,G13,IF(J12&lt;=F14,G14,IF(J12&lt;=F15,G15,IF(J12&lt;=F16,G16,G17))))</f>
        <v>17626</v>
      </c>
    </row>
    <row r="12" spans="1:10" ht="12.75">
      <c r="A12" s="290" t="s">
        <v>95</v>
      </c>
      <c r="B12" s="291" t="s">
        <v>187</v>
      </c>
      <c r="C12" s="291" t="s">
        <v>188</v>
      </c>
      <c r="D12" s="292" t="s">
        <v>189</v>
      </c>
      <c r="E12" s="293"/>
      <c r="F12" s="290" t="s">
        <v>190</v>
      </c>
      <c r="G12" s="292" t="s">
        <v>191</v>
      </c>
      <c r="I12" s="294" t="s">
        <v>190</v>
      </c>
      <c r="J12" s="295">
        <f>SUM(GCCV_Private!H7)</f>
        <v>25000</v>
      </c>
    </row>
    <row r="13" spans="1:10" ht="12.75">
      <c r="A13" s="294">
        <v>0</v>
      </c>
      <c r="B13" s="296">
        <v>0.01208</v>
      </c>
      <c r="C13" s="296">
        <v>0.0122</v>
      </c>
      <c r="D13" s="297">
        <v>0.01226</v>
      </c>
      <c r="E13" s="298"/>
      <c r="F13" s="299">
        <v>7500</v>
      </c>
      <c r="G13" s="466">
        <v>8510</v>
      </c>
      <c r="I13" s="294" t="s">
        <v>93</v>
      </c>
      <c r="J13" s="295">
        <f ca="1">YEAR(TODAY())-GCCV_Private!H6+1</f>
        <v>5</v>
      </c>
    </row>
    <row r="14" spans="1:10" ht="12.75">
      <c r="A14" s="300">
        <v>6</v>
      </c>
      <c r="B14" s="296">
        <v>0.01239</v>
      </c>
      <c r="C14" s="296">
        <v>0.01251</v>
      </c>
      <c r="D14" s="297">
        <v>0.01257</v>
      </c>
      <c r="E14" s="298"/>
      <c r="F14" s="299">
        <v>12000</v>
      </c>
      <c r="G14" s="466">
        <v>17352</v>
      </c>
      <c r="I14" s="294" t="s">
        <v>192</v>
      </c>
      <c r="J14" s="295">
        <f>IF(GCCV_Private!H8="c",2,IF(GCCV_Private!H8="B",3,4))</f>
        <v>2</v>
      </c>
    </row>
    <row r="15" spans="1:10" ht="12.75">
      <c r="A15" s="294">
        <v>8</v>
      </c>
      <c r="B15" s="296">
        <v>0.01268</v>
      </c>
      <c r="C15" s="296">
        <v>0.01281</v>
      </c>
      <c r="D15" s="297">
        <v>0.01287</v>
      </c>
      <c r="E15" s="298"/>
      <c r="F15" s="299">
        <v>20000</v>
      </c>
      <c r="G15" s="466">
        <v>10969</v>
      </c>
      <c r="I15" s="294" t="s">
        <v>193</v>
      </c>
      <c r="J15" s="301">
        <f>IF(J13&gt;A15,VLOOKUP(A15,A13:D15,J14),IF(J13&gt;A14,VLOOKUP(A14,A13:D15,J14),VLOOKUP(A13,A13:D15,J14)))</f>
        <v>0.01208</v>
      </c>
    </row>
    <row r="16" spans="1:10" ht="12.75">
      <c r="A16" s="294"/>
      <c r="B16" s="302"/>
      <c r="C16" s="302"/>
      <c r="D16" s="295"/>
      <c r="E16" s="298"/>
      <c r="F16" s="299">
        <v>40000</v>
      </c>
      <c r="G16" s="466">
        <v>17626</v>
      </c>
      <c r="I16" s="294" t="s">
        <v>97</v>
      </c>
      <c r="J16" s="303">
        <f>J15*J11</f>
        <v>24764</v>
      </c>
    </row>
    <row r="17" spans="1:10" ht="12.75">
      <c r="A17" s="304" t="s">
        <v>155</v>
      </c>
      <c r="B17" s="305">
        <f>27/100</f>
        <v>0.27</v>
      </c>
      <c r="C17" s="305"/>
      <c r="D17" s="306"/>
      <c r="E17" s="307"/>
      <c r="F17" s="304"/>
      <c r="G17" s="467">
        <v>25038</v>
      </c>
      <c r="I17" s="304" t="s">
        <v>155</v>
      </c>
      <c r="J17" s="308">
        <f>IF(J12&gt;12000,(J12-12000)*B17,0)</f>
        <v>3510.0000000000005</v>
      </c>
    </row>
    <row r="19" spans="1:7" ht="15">
      <c r="A19" s="631" t="s">
        <v>196</v>
      </c>
      <c r="B19" s="631"/>
      <c r="C19" s="631"/>
      <c r="D19" s="631"/>
      <c r="E19" s="631"/>
      <c r="F19" s="631"/>
      <c r="G19" s="631"/>
    </row>
    <row r="20" spans="1:10" ht="12.75">
      <c r="A20" s="283" t="s">
        <v>102</v>
      </c>
      <c r="B20" s="284"/>
      <c r="C20" s="284"/>
      <c r="D20" s="285"/>
      <c r="E20" s="286"/>
      <c r="F20" s="283" t="s">
        <v>104</v>
      </c>
      <c r="G20" s="285" t="s">
        <v>197</v>
      </c>
      <c r="I20" s="287" t="s">
        <v>186</v>
      </c>
      <c r="J20" s="310">
        <f>'Misc  Class D'!C6</f>
        <v>0</v>
      </c>
    </row>
    <row r="21" spans="1:10" ht="12.75">
      <c r="A21" s="290" t="s">
        <v>95</v>
      </c>
      <c r="B21" s="291" t="s">
        <v>187</v>
      </c>
      <c r="C21" s="291" t="s">
        <v>188</v>
      </c>
      <c r="D21" s="292" t="s">
        <v>189</v>
      </c>
      <c r="E21" s="293"/>
      <c r="F21" s="290" t="s">
        <v>198</v>
      </c>
      <c r="G21" s="292" t="s">
        <v>191</v>
      </c>
      <c r="I21" s="290" t="s">
        <v>93</v>
      </c>
      <c r="J21" s="311">
        <f ca="1">YEAR(TODAY())-'Misc  Class D'!G6</f>
        <v>11</v>
      </c>
    </row>
    <row r="22" spans="1:10" ht="12.75">
      <c r="A22" s="312">
        <v>0</v>
      </c>
      <c r="B22" s="313">
        <v>0.0119</v>
      </c>
      <c r="C22" s="313">
        <v>0.01202</v>
      </c>
      <c r="D22" s="314">
        <v>0.01208</v>
      </c>
      <c r="E22" s="298"/>
      <c r="F22" s="299" t="s">
        <v>199</v>
      </c>
      <c r="G22" s="466">
        <v>7267</v>
      </c>
      <c r="I22" s="312" t="s">
        <v>192</v>
      </c>
      <c r="J22" s="295">
        <f>IF('Misc  Class D'!G8="c",2,IF('Misc  Class D'!G8="B",3,4))</f>
        <v>2</v>
      </c>
    </row>
    <row r="23" spans="1:10" ht="12.75">
      <c r="A23" s="300">
        <v>6</v>
      </c>
      <c r="B23" s="296">
        <v>0.0122</v>
      </c>
      <c r="C23" s="296">
        <v>0.01232</v>
      </c>
      <c r="D23" s="297">
        <v>0.01238</v>
      </c>
      <c r="E23" s="298"/>
      <c r="F23" s="299" t="s">
        <v>200</v>
      </c>
      <c r="G23" s="466">
        <v>1645</v>
      </c>
      <c r="I23" s="312" t="s">
        <v>198</v>
      </c>
      <c r="J23" s="295" t="str">
        <f>'Misc  Class D'!G7</f>
        <v>Others</v>
      </c>
    </row>
    <row r="24" spans="1:10" ht="12.75">
      <c r="A24" s="315">
        <v>8</v>
      </c>
      <c r="B24" s="296">
        <v>0.0125</v>
      </c>
      <c r="C24" s="296">
        <v>0.01262</v>
      </c>
      <c r="D24" s="297">
        <v>0.01268</v>
      </c>
      <c r="E24" s="307"/>
      <c r="F24" s="316" t="s">
        <v>201</v>
      </c>
      <c r="G24" s="467">
        <v>2485</v>
      </c>
      <c r="I24" s="312" t="s">
        <v>193</v>
      </c>
      <c r="J24" s="301">
        <f>IF(J21&gt;A24,VLOOKUP(A24,A22:D24,J22),IF(J21&gt;A23,VLOOKUP(A23,A22:D24,J22),VLOOKUP(A22,A22:D24,J22)))</f>
        <v>0.0125</v>
      </c>
    </row>
    <row r="25" spans="7:10" ht="12">
      <c r="G25" s="317"/>
      <c r="I25" s="312" t="s">
        <v>97</v>
      </c>
      <c r="J25" s="295">
        <f>J20*J24</f>
        <v>0</v>
      </c>
    </row>
    <row r="26" spans="9:10" ht="12">
      <c r="I26" s="304" t="s">
        <v>99</v>
      </c>
      <c r="J26" s="306">
        <f>VLOOKUP(J23,F22:G24,2)</f>
        <v>7267</v>
      </c>
    </row>
  </sheetData>
  <sheetProtection selectLockedCells="1" selectUnlockedCells="1"/>
  <mergeCells count="3">
    <mergeCell ref="A1:G1"/>
    <mergeCell ref="A10:G10"/>
    <mergeCell ref="A19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8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27.7109375" style="209" customWidth="1"/>
    <col min="2" max="2" width="6.7109375" style="209" customWidth="1"/>
    <col min="3" max="16384" width="9.140625" style="209" customWidth="1"/>
  </cols>
  <sheetData>
    <row r="1" spans="1:3" ht="12.75">
      <c r="A1" s="345"/>
      <c r="B1" s="345"/>
      <c r="C1" s="345"/>
    </row>
    <row r="2" spans="1:3" ht="13.5">
      <c r="A2" s="346" t="s">
        <v>94</v>
      </c>
      <c r="B2" s="345"/>
      <c r="C2" s="345"/>
    </row>
    <row r="3" spans="1:3" ht="12.75">
      <c r="A3" s="345"/>
      <c r="B3" s="345"/>
      <c r="C3" s="345"/>
    </row>
    <row r="4" spans="1:3" ht="12.75">
      <c r="A4" s="345" t="s">
        <v>48</v>
      </c>
      <c r="B4" s="345" t="str">
        <f>+'PCCV 4W Up To 6 P'!G7</f>
        <v>B</v>
      </c>
      <c r="C4" s="345"/>
    </row>
    <row r="5" spans="1:3" ht="12.75">
      <c r="A5" s="345" t="s">
        <v>51</v>
      </c>
      <c r="B5" s="345">
        <f>+'PCCV 4W Up To 6 P'!G8</f>
        <v>1600</v>
      </c>
      <c r="C5" s="345"/>
    </row>
    <row r="6" spans="1:3" ht="12.75">
      <c r="A6" s="345" t="s">
        <v>95</v>
      </c>
      <c r="B6" s="345">
        <f ca="1">IF((YEAR(TODAY())-'PCCV 4W Up To 6 P'!G6+1)&lt;1,0,(YEAR(TODAY())-'PCCV 4W Up To 6 P'!G6+1))</f>
        <v>6</v>
      </c>
      <c r="C6" s="345"/>
    </row>
    <row r="7" spans="1:3" ht="12.75">
      <c r="A7" s="345" t="s">
        <v>96</v>
      </c>
      <c r="B7" s="345">
        <f>(IF(B4="A",IF(B5&lt;1001,1,IF(B5&lt;1501,3,5)),IF(B5&lt;1001,2,IF(B5&lt;1501,4,6)))+1)</f>
        <v>7</v>
      </c>
      <c r="C7" s="345"/>
    </row>
    <row r="8" spans="1:3" ht="12.75">
      <c r="A8" s="345" t="s">
        <v>97</v>
      </c>
      <c r="B8" s="345">
        <f>VLOOKUP(B6,PCCVT!A7:G9,PCCVCAL!B7)</f>
        <v>3.598</v>
      </c>
      <c r="C8" s="345"/>
    </row>
    <row r="9" spans="1:3" ht="12.75">
      <c r="A9" s="345"/>
      <c r="B9" s="345"/>
      <c r="C9" s="345"/>
    </row>
    <row r="10" spans="1:3" ht="13.5">
      <c r="A10" s="346" t="s">
        <v>98</v>
      </c>
      <c r="B10" s="345"/>
      <c r="C10" s="345"/>
    </row>
    <row r="11" spans="1:3" ht="12.75">
      <c r="A11" s="345" t="s">
        <v>99</v>
      </c>
      <c r="B11" s="345">
        <f>VLOOKUP(B6,PCCVT!A13:G15,PCCVCAL!B7)</f>
        <v>10523</v>
      </c>
      <c r="C11" s="345"/>
    </row>
    <row r="12" spans="1:3" ht="12.75">
      <c r="A12" s="345"/>
      <c r="B12" s="345"/>
      <c r="C12" s="345"/>
    </row>
    <row r="13" spans="1:3" ht="12.75">
      <c r="A13" s="345"/>
      <c r="B13" s="345"/>
      <c r="C13" s="345"/>
    </row>
    <row r="14" spans="1:3" ht="12.75">
      <c r="A14" s="345"/>
      <c r="B14" s="345"/>
      <c r="C14" s="345"/>
    </row>
    <row r="15" spans="1:3" ht="12.75">
      <c r="A15" s="345"/>
      <c r="B15" s="345"/>
      <c r="C15" s="345"/>
    </row>
    <row r="16" spans="1:3" ht="12.75">
      <c r="A16" s="345"/>
      <c r="B16" s="345"/>
      <c r="C16" s="345"/>
    </row>
    <row r="17" spans="1:3" ht="12.75">
      <c r="A17" s="345"/>
      <c r="B17" s="345"/>
      <c r="C17" s="345"/>
    </row>
    <row r="18" spans="1:3" ht="12.75">
      <c r="A18" s="345"/>
      <c r="B18" s="345"/>
      <c r="C18" s="34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40"/>
  <sheetViews>
    <sheetView zoomScale="145" zoomScaleNormal="145" zoomScalePageLayoutView="0" workbookViewId="0" topLeftCell="A25">
      <selection activeCell="I39" sqref="I39"/>
    </sheetView>
  </sheetViews>
  <sheetFormatPr defaultColWidth="9.140625" defaultRowHeight="12.75"/>
  <cols>
    <col min="1" max="4" width="9.140625" style="81" customWidth="1"/>
    <col min="5" max="5" width="5.421875" style="81" customWidth="1"/>
    <col min="6" max="6" width="10.421875" style="81" customWidth="1"/>
    <col min="7" max="7" width="14.7109375" style="81" customWidth="1"/>
    <col min="8" max="16384" width="9.140625" style="81" customWidth="1"/>
  </cols>
  <sheetData>
    <row r="2" spans="1:7" ht="13.5">
      <c r="A2" s="632" t="s">
        <v>207</v>
      </c>
      <c r="B2" s="632"/>
      <c r="C2" s="632"/>
      <c r="D2" s="632"/>
      <c r="E2" s="632"/>
      <c r="F2" s="632"/>
      <c r="G2" s="632"/>
    </row>
    <row r="3" spans="1:7" ht="12.75">
      <c r="A3" s="283" t="s">
        <v>102</v>
      </c>
      <c r="B3" s="284"/>
      <c r="C3" s="284"/>
      <c r="D3" s="285"/>
      <c r="F3" s="287" t="s">
        <v>186</v>
      </c>
      <c r="G3" s="288">
        <v>50000</v>
      </c>
    </row>
    <row r="4" spans="1:7" ht="12.75">
      <c r="A4" s="290" t="s">
        <v>95</v>
      </c>
      <c r="B4" s="291" t="s">
        <v>187</v>
      </c>
      <c r="C4" s="291" t="s">
        <v>188</v>
      </c>
      <c r="D4" s="292" t="s">
        <v>189</v>
      </c>
      <c r="F4" s="294" t="s">
        <v>190</v>
      </c>
      <c r="G4" s="96">
        <f>'GCCV 3W Public'!G7</f>
        <v>450</v>
      </c>
    </row>
    <row r="5" spans="1:7" ht="12">
      <c r="A5" s="294">
        <v>0</v>
      </c>
      <c r="B5" s="347">
        <v>0.0164</v>
      </c>
      <c r="C5" s="347">
        <v>0.01656</v>
      </c>
      <c r="D5" s="348">
        <v>0.01664</v>
      </c>
      <c r="F5" s="294" t="s">
        <v>93</v>
      </c>
      <c r="G5" s="96">
        <f ca="1">YEAR(TODAY())-'GCCV 3W Public'!G6+1</f>
        <v>7</v>
      </c>
    </row>
    <row r="6" spans="1:7" ht="12">
      <c r="A6" s="349">
        <v>6</v>
      </c>
      <c r="B6" s="347">
        <v>0.01681</v>
      </c>
      <c r="C6" s="347">
        <v>0.01697</v>
      </c>
      <c r="D6" s="348">
        <v>0.01706</v>
      </c>
      <c r="F6" s="294" t="s">
        <v>192</v>
      </c>
      <c r="G6" s="96">
        <f>IF('GCCV 3W Public'!G8="c",2,IF('GCCV 3W Public'!G8="B",3,4))</f>
        <v>2</v>
      </c>
    </row>
    <row r="7" spans="1:7" ht="12">
      <c r="A7" s="294">
        <v>8</v>
      </c>
      <c r="B7" s="347">
        <v>0.01722</v>
      </c>
      <c r="C7" s="347">
        <v>0.01739</v>
      </c>
      <c r="D7" s="348">
        <v>0.01747</v>
      </c>
      <c r="F7" s="294" t="s">
        <v>193</v>
      </c>
      <c r="G7" s="301">
        <f>IF(G5&gt;A7,VLOOKUP(A7,A5:D7,G6),IF(G5&gt;A6,VLOOKUP(A6,A5:D7,G6),VLOOKUP(A5,A5:D7,G6)))</f>
        <v>0.01681</v>
      </c>
    </row>
    <row r="8" spans="1:7" ht="12">
      <c r="A8" s="294"/>
      <c r="B8" s="347"/>
      <c r="C8" s="347"/>
      <c r="D8" s="348"/>
      <c r="F8" s="294" t="s">
        <v>97</v>
      </c>
      <c r="G8" s="303">
        <f>G7*G3</f>
        <v>840.4999999999999</v>
      </c>
    </row>
    <row r="9" spans="1:7" ht="12.75">
      <c r="A9" s="304"/>
      <c r="B9" s="350"/>
      <c r="C9" s="350"/>
      <c r="D9" s="351"/>
      <c r="F9" s="304" t="s">
        <v>99</v>
      </c>
      <c r="G9" s="474">
        <v>4492</v>
      </c>
    </row>
    <row r="12" spans="1:7" ht="15">
      <c r="A12" s="633" t="s">
        <v>208</v>
      </c>
      <c r="B12" s="633"/>
      <c r="C12" s="633"/>
      <c r="D12" s="633"/>
      <c r="E12" s="633"/>
      <c r="F12" s="633"/>
      <c r="G12" s="633"/>
    </row>
    <row r="13" spans="1:7" ht="12.75">
      <c r="A13" s="283" t="s">
        <v>102</v>
      </c>
      <c r="B13" s="284"/>
      <c r="C13" s="284"/>
      <c r="D13" s="285"/>
      <c r="F13" s="287" t="s">
        <v>186</v>
      </c>
      <c r="G13" s="288">
        <f>SUM('PCCV 3W up to 6 P'!C6)</f>
        <v>115000</v>
      </c>
    </row>
    <row r="14" spans="1:7" ht="12.75">
      <c r="A14" s="290" t="s">
        <v>95</v>
      </c>
      <c r="B14" s="291" t="s">
        <v>187</v>
      </c>
      <c r="C14" s="291" t="s">
        <v>188</v>
      </c>
      <c r="D14" s="292" t="s">
        <v>189</v>
      </c>
      <c r="F14" s="294" t="s">
        <v>173</v>
      </c>
      <c r="G14" s="96">
        <f>SUM('PCCV 3W up to 6 P'!G7)</f>
        <v>1</v>
      </c>
    </row>
    <row r="15" spans="1:7" ht="12">
      <c r="A15" s="294">
        <v>0</v>
      </c>
      <c r="B15" s="347">
        <v>0.0126</v>
      </c>
      <c r="C15" s="347">
        <v>0.01272</v>
      </c>
      <c r="D15" s="348">
        <v>0.01278</v>
      </c>
      <c r="F15" s="294" t="s">
        <v>93</v>
      </c>
      <c r="G15" s="96">
        <f ca="1">YEAR(TODAY())-'PCCV 3W up to 6 P'!G6+1</f>
        <v>5</v>
      </c>
    </row>
    <row r="16" spans="1:7" ht="12">
      <c r="A16" s="349">
        <v>6</v>
      </c>
      <c r="B16" s="347">
        <v>0.01292</v>
      </c>
      <c r="C16" s="347">
        <v>0.01304</v>
      </c>
      <c r="D16" s="348">
        <v>0.0131</v>
      </c>
      <c r="F16" s="294" t="s">
        <v>192</v>
      </c>
      <c r="G16" s="96">
        <f>IF('PCCV 3W up to 6 P'!G8="c",2,IF('PCCV 3W up to 6 P'!G8="B",3,4))</f>
        <v>2</v>
      </c>
    </row>
    <row r="17" spans="1:7" ht="12">
      <c r="A17" s="294">
        <v>8</v>
      </c>
      <c r="B17" s="352">
        <v>0.01323</v>
      </c>
      <c r="C17" s="347">
        <v>0.01336</v>
      </c>
      <c r="D17" s="348">
        <v>0.01342</v>
      </c>
      <c r="F17" s="294" t="s">
        <v>193</v>
      </c>
      <c r="G17" s="301">
        <f>IF(G15&gt;A17,VLOOKUP(A17,A15:D17,G16),IF(G15&gt;A16,VLOOKUP(A16,A15:D17,G16),VLOOKUP(A15,A15:D17,G16)))</f>
        <v>0.0126</v>
      </c>
    </row>
    <row r="18" spans="1:7" ht="12">
      <c r="A18" s="294"/>
      <c r="B18" s="95"/>
      <c r="C18" s="95"/>
      <c r="D18" s="96"/>
      <c r="F18" s="294" t="s">
        <v>97</v>
      </c>
      <c r="G18" s="353">
        <f>G17*G13</f>
        <v>1449</v>
      </c>
    </row>
    <row r="19" spans="1:7" ht="12.75">
      <c r="A19" s="304"/>
      <c r="B19" s="350"/>
      <c r="C19" s="350"/>
      <c r="D19" s="351"/>
      <c r="F19" s="304" t="s">
        <v>99</v>
      </c>
      <c r="G19" s="467">
        <v>2595</v>
      </c>
    </row>
    <row r="23" spans="1:7" ht="15">
      <c r="A23" s="633" t="s">
        <v>209</v>
      </c>
      <c r="B23" s="633"/>
      <c r="C23" s="633"/>
      <c r="D23" s="633"/>
      <c r="E23" s="633"/>
      <c r="F23" s="633"/>
      <c r="G23" s="633"/>
    </row>
    <row r="24" spans="1:7" ht="12.75">
      <c r="A24" s="283" t="s">
        <v>102</v>
      </c>
      <c r="B24" s="284"/>
      <c r="C24" s="284"/>
      <c r="D24" s="285"/>
      <c r="F24" s="287" t="s">
        <v>186</v>
      </c>
      <c r="G24" s="288">
        <f>SUM('PCCV 3W 7 TO 17 P'!C6)</f>
        <v>100000</v>
      </c>
    </row>
    <row r="25" spans="1:7" ht="12.75">
      <c r="A25" s="290" t="s">
        <v>95</v>
      </c>
      <c r="B25" s="291" t="s">
        <v>187</v>
      </c>
      <c r="C25" s="291" t="s">
        <v>188</v>
      </c>
      <c r="D25" s="292" t="s">
        <v>189</v>
      </c>
      <c r="F25" s="294" t="s">
        <v>173</v>
      </c>
      <c r="G25" s="96">
        <f>SUM('PCCV 3W 7 TO 17 P'!G7)</f>
        <v>15</v>
      </c>
    </row>
    <row r="26" spans="1:7" ht="12">
      <c r="A26" s="294">
        <v>0</v>
      </c>
      <c r="B26" s="347">
        <v>0.01759</v>
      </c>
      <c r="C26" s="347">
        <v>0.01777</v>
      </c>
      <c r="D26" s="348">
        <v>0.01785</v>
      </c>
      <c r="F26" s="294" t="s">
        <v>93</v>
      </c>
      <c r="G26" s="96">
        <f ca="1">YEAR(TODAY())-'PCCV 3W 7 TO 17 P'!G6+1</f>
        <v>7</v>
      </c>
    </row>
    <row r="27" spans="1:7" ht="12">
      <c r="A27" s="349">
        <v>6</v>
      </c>
      <c r="B27" s="347">
        <v>0.01803</v>
      </c>
      <c r="C27" s="347">
        <v>0.01821</v>
      </c>
      <c r="D27" s="348">
        <v>0.0183</v>
      </c>
      <c r="F27" s="294" t="s">
        <v>192</v>
      </c>
      <c r="G27" s="96">
        <f>IF('PCCV 3W 7 TO 17 P'!G8="c",2,IF('PCCV 3W 7 TO 17 P'!G8="B",3,4))</f>
        <v>2</v>
      </c>
    </row>
    <row r="28" spans="1:7" ht="12">
      <c r="A28" s="294">
        <v>8</v>
      </c>
      <c r="B28" s="347">
        <v>0.01847</v>
      </c>
      <c r="C28" s="347">
        <v>0.01866</v>
      </c>
      <c r="D28" s="348">
        <v>0.01874</v>
      </c>
      <c r="F28" s="294" t="s">
        <v>193</v>
      </c>
      <c r="G28" s="301">
        <f>IF(G26&gt;A28,VLOOKUP(A28,A26:D28,G27),IF(G26&gt;A27,VLOOKUP(A27,A26:D28,G27),VLOOKUP(A26,A26:D28,G27)))</f>
        <v>0.01803</v>
      </c>
    </row>
    <row r="29" spans="1:7" ht="12">
      <c r="A29" s="294"/>
      <c r="B29" s="95"/>
      <c r="C29" s="95"/>
      <c r="D29" s="96"/>
      <c r="F29" s="294" t="s">
        <v>97</v>
      </c>
      <c r="G29" s="303">
        <f>G28*G24</f>
        <v>1803</v>
      </c>
    </row>
    <row r="30" spans="1:7" ht="12.75">
      <c r="A30" s="304"/>
      <c r="B30" s="350"/>
      <c r="C30" s="350"/>
      <c r="D30" s="351"/>
      <c r="F30" s="304" t="s">
        <v>99</v>
      </c>
      <c r="G30" s="467">
        <v>6763</v>
      </c>
    </row>
    <row r="33" spans="1:7" ht="15.75" thickBot="1">
      <c r="A33" s="633" t="s">
        <v>231</v>
      </c>
      <c r="B33" s="633"/>
      <c r="C33" s="633"/>
      <c r="D33" s="633"/>
      <c r="E33" s="633"/>
      <c r="F33" s="633"/>
      <c r="G33" s="633"/>
    </row>
    <row r="34" spans="1:7" ht="12.75">
      <c r="A34" s="283" t="s">
        <v>102</v>
      </c>
      <c r="B34" s="284"/>
      <c r="C34" s="284"/>
      <c r="D34" s="285"/>
      <c r="F34" s="287" t="s">
        <v>186</v>
      </c>
      <c r="G34" s="288">
        <f>SUM('PCCV 3W 7 TO 17 P'!C6)</f>
        <v>100000</v>
      </c>
    </row>
    <row r="35" spans="1:7" ht="12.75">
      <c r="A35" s="290" t="s">
        <v>95</v>
      </c>
      <c r="B35" s="291" t="s">
        <v>187</v>
      </c>
      <c r="C35" s="291" t="s">
        <v>188</v>
      </c>
      <c r="D35" s="292" t="s">
        <v>189</v>
      </c>
      <c r="F35" s="294" t="s">
        <v>173</v>
      </c>
      <c r="G35" s="96">
        <f>SUM('PCCV 3W 7 TO 17 P'!G7)</f>
        <v>15</v>
      </c>
    </row>
    <row r="36" spans="1:7" ht="12">
      <c r="A36" s="294">
        <v>0</v>
      </c>
      <c r="B36" s="347">
        <v>0.01759</v>
      </c>
      <c r="C36" s="347">
        <v>0.01777</v>
      </c>
      <c r="D36" s="348">
        <v>0.01785</v>
      </c>
      <c r="F36" s="294" t="s">
        <v>93</v>
      </c>
      <c r="G36" s="96">
        <f ca="1">YEAR(TODAY())-'PCCV 3W 7 TO 17 P'!G6+1</f>
        <v>7</v>
      </c>
    </row>
    <row r="37" spans="1:7" ht="12">
      <c r="A37" s="349">
        <v>6</v>
      </c>
      <c r="B37" s="347">
        <v>0.01803</v>
      </c>
      <c r="C37" s="347">
        <v>0.01821</v>
      </c>
      <c r="D37" s="348">
        <v>0.0183</v>
      </c>
      <c r="F37" s="294" t="s">
        <v>192</v>
      </c>
      <c r="G37" s="96">
        <f>IF('PCCV 3W 7 TO 17 P'!G18="c",2,IF('PCCV 3W 7 TO 17 P'!G8="B",3,4))</f>
        <v>4</v>
      </c>
    </row>
    <row r="38" spans="1:7" ht="12">
      <c r="A38" s="294">
        <v>8</v>
      </c>
      <c r="B38" s="347">
        <v>0.01847</v>
      </c>
      <c r="C38" s="347">
        <v>0.01866</v>
      </c>
      <c r="D38" s="348">
        <v>0.01874</v>
      </c>
      <c r="F38" s="294" t="s">
        <v>193</v>
      </c>
      <c r="G38" s="301">
        <f>IF(G36&gt;A38,VLOOKUP(A38,A36:D38,G37),IF(G36&gt;A37,VLOOKUP(A37,A36:D38,G37),VLOOKUP(A36,A36:D38,G37)))</f>
        <v>0.0183</v>
      </c>
    </row>
    <row r="39" spans="1:7" ht="12">
      <c r="A39" s="294"/>
      <c r="B39" s="95"/>
      <c r="C39" s="95"/>
      <c r="D39" s="96"/>
      <c r="F39" s="294" t="s">
        <v>97</v>
      </c>
      <c r="G39" s="303">
        <f>G38*G34</f>
        <v>1830</v>
      </c>
    </row>
    <row r="40" spans="1:7" ht="13.5" thickBot="1">
      <c r="A40" s="304"/>
      <c r="B40" s="350"/>
      <c r="C40" s="350"/>
      <c r="D40" s="351"/>
      <c r="F40" s="304" t="s">
        <v>99</v>
      </c>
      <c r="G40" s="467">
        <v>15502</v>
      </c>
    </row>
  </sheetData>
  <sheetProtection selectLockedCells="1" selectUnlockedCells="1"/>
  <mergeCells count="4">
    <mergeCell ref="A2:G2"/>
    <mergeCell ref="A12:G12"/>
    <mergeCell ref="A23:G23"/>
    <mergeCell ref="A33:G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9"/>
  <sheetViews>
    <sheetView zoomScale="130" zoomScaleNormal="130" zoomScalePageLayoutView="0" workbookViewId="0" topLeftCell="A1">
      <selection activeCell="G10" sqref="G10"/>
    </sheetView>
  </sheetViews>
  <sheetFormatPr defaultColWidth="9.140625" defaultRowHeight="12.75"/>
  <cols>
    <col min="1" max="4" width="9.140625" style="359" customWidth="1"/>
    <col min="5" max="5" width="5.421875" style="359" customWidth="1"/>
    <col min="6" max="6" width="10.421875" style="359" customWidth="1"/>
    <col min="7" max="7" width="14.7109375" style="359" customWidth="1"/>
    <col min="8" max="16384" width="9.140625" style="359" customWidth="1"/>
  </cols>
  <sheetData>
    <row r="2" spans="1:7" ht="14.25" thickBot="1">
      <c r="A2" s="632" t="s">
        <v>210</v>
      </c>
      <c r="B2" s="632"/>
      <c r="C2" s="632"/>
      <c r="D2" s="632"/>
      <c r="E2" s="632"/>
      <c r="F2" s="632"/>
      <c r="G2" s="632"/>
    </row>
    <row r="3" spans="1:7" ht="12.75">
      <c r="A3" s="360" t="s">
        <v>102</v>
      </c>
      <c r="B3" s="361"/>
      <c r="C3" s="361"/>
      <c r="D3" s="362"/>
      <c r="F3" s="363" t="s">
        <v>186</v>
      </c>
      <c r="G3" s="377">
        <f>SUM('PCCV Maxi &amp; Bus'!C6)</f>
        <v>2500000</v>
      </c>
    </row>
    <row r="4" spans="1:7" ht="12.75">
      <c r="A4" s="364" t="s">
        <v>95</v>
      </c>
      <c r="B4" s="365" t="s">
        <v>187</v>
      </c>
      <c r="C4" s="365" t="s">
        <v>188</v>
      </c>
      <c r="D4" s="366" t="s">
        <v>189</v>
      </c>
      <c r="F4" s="367" t="s">
        <v>173</v>
      </c>
      <c r="G4" s="378">
        <f>SUM('PCCV Maxi &amp; Bus'!G7)</f>
        <v>56</v>
      </c>
    </row>
    <row r="5" spans="1:7" ht="12.75">
      <c r="A5" s="367">
        <v>0</v>
      </c>
      <c r="B5" s="368">
        <v>0.01656</v>
      </c>
      <c r="C5" s="369">
        <v>0.01672</v>
      </c>
      <c r="D5" s="370">
        <v>0.0168</v>
      </c>
      <c r="F5" s="367" t="s">
        <v>93</v>
      </c>
      <c r="G5" s="379">
        <f ca="1">YEAR(TODAY())-'PCCV Maxi &amp; Bus'!G6+1</f>
        <v>6</v>
      </c>
    </row>
    <row r="6" spans="1:7" ht="12.75">
      <c r="A6" s="372">
        <v>6</v>
      </c>
      <c r="B6" s="368">
        <v>0.01697</v>
      </c>
      <c r="C6" s="369">
        <v>0.01714</v>
      </c>
      <c r="D6" s="370">
        <v>0.01722</v>
      </c>
      <c r="F6" s="367" t="s">
        <v>192</v>
      </c>
      <c r="G6" s="380">
        <f>IF('PCCV Maxi &amp; Bus'!G8="C",2,IF('PCCV Maxi &amp; Bus'!G8="B",3,4))</f>
        <v>2</v>
      </c>
    </row>
    <row r="7" spans="1:7" ht="12.75">
      <c r="A7" s="367">
        <v>8</v>
      </c>
      <c r="B7" s="368">
        <v>0.01739</v>
      </c>
      <c r="C7" s="369">
        <v>0.01756</v>
      </c>
      <c r="D7" s="370">
        <v>0.01764</v>
      </c>
      <c r="F7" s="367" t="s">
        <v>193</v>
      </c>
      <c r="G7" s="381">
        <f>IF(G5&gt;A7,VLOOKUP(A7,A5:D7,G6),IF(G5&gt;A6,VLOOKUP(A6,A5:D7,G6),VLOOKUP(A5,A5:D7,G6)))</f>
        <v>0.01656</v>
      </c>
    </row>
    <row r="8" spans="1:7" ht="12">
      <c r="A8" s="367"/>
      <c r="B8" s="373"/>
      <c r="C8" s="373"/>
      <c r="D8" s="371"/>
      <c r="F8" s="367" t="s">
        <v>97</v>
      </c>
      <c r="G8" s="382">
        <f>G7*G3</f>
        <v>41399.99999999999</v>
      </c>
    </row>
    <row r="9" spans="1:7" ht="13.5" thickBot="1">
      <c r="A9" s="374"/>
      <c r="B9" s="375"/>
      <c r="C9" s="375"/>
      <c r="D9" s="376"/>
      <c r="F9" s="374" t="s">
        <v>99</v>
      </c>
      <c r="G9" s="467">
        <v>14343</v>
      </c>
    </row>
  </sheetData>
  <sheetProtection selectLockedCells="1" selectUnlockedCells="1"/>
  <mergeCells count="1">
    <mergeCell ref="A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9"/>
  <sheetViews>
    <sheetView zoomScale="130" zoomScaleNormal="130" zoomScalePageLayoutView="0" workbookViewId="0" topLeftCell="A1">
      <selection activeCell="G10" sqref="G10"/>
    </sheetView>
  </sheetViews>
  <sheetFormatPr defaultColWidth="9.140625" defaultRowHeight="12.75"/>
  <cols>
    <col min="1" max="4" width="9.140625" style="359" customWidth="1"/>
    <col min="5" max="5" width="5.421875" style="359" customWidth="1"/>
    <col min="6" max="6" width="10.421875" style="359" customWidth="1"/>
    <col min="7" max="7" width="14.7109375" style="359" customWidth="1"/>
    <col min="8" max="16384" width="9.140625" style="359" customWidth="1"/>
  </cols>
  <sheetData>
    <row r="2" spans="1:7" ht="14.25" thickBot="1">
      <c r="A2" s="632" t="s">
        <v>214</v>
      </c>
      <c r="B2" s="632"/>
      <c r="C2" s="632"/>
      <c r="D2" s="632"/>
      <c r="E2" s="632"/>
      <c r="F2" s="632"/>
      <c r="G2" s="632"/>
    </row>
    <row r="3" spans="1:7" ht="12.75">
      <c r="A3" s="360" t="s">
        <v>102</v>
      </c>
      <c r="B3" s="361"/>
      <c r="C3" s="361"/>
      <c r="D3" s="362"/>
      <c r="F3" s="363" t="s">
        <v>186</v>
      </c>
      <c r="G3" s="377">
        <f>SUM('PCCV School Bus'!C6)</f>
        <v>1170000</v>
      </c>
    </row>
    <row r="4" spans="1:7" ht="12.75">
      <c r="A4" s="364" t="s">
        <v>95</v>
      </c>
      <c r="B4" s="365" t="s">
        <v>187</v>
      </c>
      <c r="C4" s="365" t="s">
        <v>188</v>
      </c>
      <c r="D4" s="366" t="s">
        <v>189</v>
      </c>
      <c r="F4" s="367" t="s">
        <v>173</v>
      </c>
      <c r="G4" s="378">
        <f>SUM('PCCV School Bus'!G7)</f>
        <v>10</v>
      </c>
    </row>
    <row r="5" spans="1:7" ht="12.75">
      <c r="A5" s="367">
        <v>0</v>
      </c>
      <c r="B5" s="368">
        <v>0.01656</v>
      </c>
      <c r="C5" s="369">
        <v>0.01672</v>
      </c>
      <c r="D5" s="370">
        <v>0.0168</v>
      </c>
      <c r="F5" s="367" t="s">
        <v>93</v>
      </c>
      <c r="G5" s="379">
        <f ca="1">YEAR(TODAY())-'PCCV School Bus'!G6+1</f>
        <v>4</v>
      </c>
    </row>
    <row r="6" spans="1:7" ht="12.75">
      <c r="A6" s="372">
        <v>6</v>
      </c>
      <c r="B6" s="368">
        <v>0.01697</v>
      </c>
      <c r="C6" s="369">
        <v>0.01714</v>
      </c>
      <c r="D6" s="370">
        <v>0.01722</v>
      </c>
      <c r="F6" s="367" t="s">
        <v>192</v>
      </c>
      <c r="G6" s="380">
        <f>IF('PCCV School Bus'!G8="C",2,IF('PCCV School Bus'!G8="B",3,4))</f>
        <v>2</v>
      </c>
    </row>
    <row r="7" spans="1:7" ht="12.75">
      <c r="A7" s="367">
        <v>8</v>
      </c>
      <c r="B7" s="368">
        <v>0.01739</v>
      </c>
      <c r="C7" s="369">
        <v>0.01756</v>
      </c>
      <c r="D7" s="370">
        <v>0.01764</v>
      </c>
      <c r="F7" s="367" t="s">
        <v>193</v>
      </c>
      <c r="G7" s="381">
        <f>IF(G5&gt;A7,VLOOKUP(A7,A5:D7,G6),IF(G5&gt;A6,VLOOKUP(A6,A5:D7,G6),VLOOKUP(A5,A5:D7,G6)))</f>
        <v>0.01656</v>
      </c>
    </row>
    <row r="8" spans="1:7" ht="12">
      <c r="A8" s="367"/>
      <c r="B8" s="373"/>
      <c r="C8" s="373"/>
      <c r="D8" s="371"/>
      <c r="F8" s="367" t="s">
        <v>97</v>
      </c>
      <c r="G8" s="382">
        <f>G7*G3</f>
        <v>19375.199999999997</v>
      </c>
    </row>
    <row r="9" spans="1:7" ht="13.5" thickBot="1">
      <c r="A9" s="374"/>
      <c r="B9" s="375"/>
      <c r="C9" s="375"/>
      <c r="D9" s="376"/>
      <c r="F9" s="374" t="s">
        <v>99</v>
      </c>
      <c r="G9" s="467">
        <v>13729</v>
      </c>
    </row>
  </sheetData>
  <sheetProtection selectLockedCells="1" selectUnlockedCells="1"/>
  <mergeCells count="1">
    <mergeCell ref="A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9"/>
  <sheetViews>
    <sheetView zoomScale="115" zoomScaleNormal="115" zoomScalePageLayoutView="0" workbookViewId="0" topLeftCell="A1">
      <selection activeCell="J11" sqref="J11"/>
    </sheetView>
  </sheetViews>
  <sheetFormatPr defaultColWidth="9.140625" defaultRowHeight="12.75"/>
  <cols>
    <col min="1" max="1" width="4.57421875" style="80" customWidth="1"/>
    <col min="2" max="4" width="9.140625" style="81" customWidth="1"/>
    <col min="5" max="5" width="2.28125" style="81" customWidth="1"/>
    <col min="6" max="6" width="10.421875" style="81" customWidth="1"/>
    <col min="7" max="7" width="14.7109375" style="81" customWidth="1"/>
    <col min="8" max="16384" width="9.140625" style="81" customWidth="1"/>
  </cols>
  <sheetData>
    <row r="2" spans="1:7" ht="13.5">
      <c r="A2" s="634" t="s">
        <v>211</v>
      </c>
      <c r="B2" s="634"/>
      <c r="C2" s="634"/>
      <c r="D2" s="634"/>
      <c r="E2" s="634"/>
      <c r="F2" s="634"/>
      <c r="G2" s="634"/>
    </row>
    <row r="3" spans="1:7" ht="12.75">
      <c r="A3" s="354" t="s">
        <v>102</v>
      </c>
      <c r="B3" s="284"/>
      <c r="C3" s="284"/>
      <c r="D3" s="285"/>
      <c r="F3" s="287" t="s">
        <v>186</v>
      </c>
      <c r="G3" s="288">
        <v>50000</v>
      </c>
    </row>
    <row r="4" spans="1:7" ht="12.75">
      <c r="A4" s="85" t="s">
        <v>95</v>
      </c>
      <c r="B4" s="291" t="s">
        <v>187</v>
      </c>
      <c r="C4" s="291" t="s">
        <v>188</v>
      </c>
      <c r="D4" s="292" t="s">
        <v>189</v>
      </c>
      <c r="F4" s="294" t="s">
        <v>190</v>
      </c>
      <c r="G4" s="96">
        <f>'GCCV 3W Private'!G16</f>
        <v>0</v>
      </c>
    </row>
    <row r="5" spans="1:7" ht="12">
      <c r="A5" s="84">
        <v>0</v>
      </c>
      <c r="B5" s="347">
        <v>0.01148</v>
      </c>
      <c r="C5" s="347">
        <v>0.011591999999999998</v>
      </c>
      <c r="D5" s="347">
        <v>0.01165</v>
      </c>
      <c r="F5" s="294" t="s">
        <v>93</v>
      </c>
      <c r="G5" s="96">
        <f ca="1">YEAR(TODAY())-'GCCV 3W Private'!G6+1</f>
        <v>7</v>
      </c>
    </row>
    <row r="6" spans="1:7" ht="12">
      <c r="A6" s="355">
        <v>6</v>
      </c>
      <c r="B6" s="347">
        <v>0.011766999999999998</v>
      </c>
      <c r="C6" s="347">
        <v>0.011878999999999999</v>
      </c>
      <c r="D6" s="347">
        <v>0.011941999999999998</v>
      </c>
      <c r="F6" s="294" t="s">
        <v>192</v>
      </c>
      <c r="G6" s="96">
        <f>IF('GCCV 3W Private'!G8="c",2,IF('GCCV 3W Private'!G8="B",3,4))</f>
        <v>2</v>
      </c>
    </row>
    <row r="7" spans="1:7" ht="12">
      <c r="A7" s="84">
        <v>8</v>
      </c>
      <c r="B7" s="347">
        <v>0.012053999999999999</v>
      </c>
      <c r="C7" s="347">
        <v>0.012172999999999998</v>
      </c>
      <c r="D7" s="347">
        <v>0.012228999999999999</v>
      </c>
      <c r="F7" s="294" t="s">
        <v>193</v>
      </c>
      <c r="G7" s="301">
        <f>IF(G5&gt;A7,VLOOKUP(A7,A5:D7,G6),IF(G5&gt;A6,VLOOKUP(A6,A5:D7,G6),VLOOKUP(A5,A5:D7,G6)))</f>
        <v>0.011766999999999998</v>
      </c>
    </row>
    <row r="8" spans="1:7" ht="12">
      <c r="A8" s="84"/>
      <c r="B8" s="95"/>
      <c r="C8" s="95"/>
      <c r="D8" s="96"/>
      <c r="F8" s="294" t="s">
        <v>97</v>
      </c>
      <c r="G8" s="303">
        <f>G7*G3</f>
        <v>588.3499999999999</v>
      </c>
    </row>
    <row r="9" spans="1:7" ht="13.5">
      <c r="A9" s="356"/>
      <c r="B9" s="350"/>
      <c r="C9" s="350"/>
      <c r="D9" s="351"/>
      <c r="F9" s="304" t="s">
        <v>99</v>
      </c>
      <c r="G9" s="468">
        <v>3922</v>
      </c>
    </row>
  </sheetData>
  <sheetProtection selectLockedCells="1" selectUnlockedCells="1"/>
  <mergeCells count="1">
    <mergeCell ref="A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6">
      <selection activeCell="G38" sqref="G38"/>
    </sheetView>
  </sheetViews>
  <sheetFormatPr defaultColWidth="9.140625" defaultRowHeight="15.75" customHeight="1"/>
  <cols>
    <col min="1" max="1" width="29.7109375" style="26" customWidth="1"/>
    <col min="2" max="2" width="6.8515625" style="27" customWidth="1"/>
    <col min="3" max="3" width="9.28125" style="26" customWidth="1"/>
    <col min="4" max="4" width="3.28125" style="26" customWidth="1"/>
    <col min="5" max="5" width="31.421875" style="26" customWidth="1"/>
    <col min="6" max="6" width="9.140625" style="26" customWidth="1"/>
    <col min="7" max="7" width="10.28125" style="26" customWidth="1"/>
    <col min="8" max="8" width="7.28125" style="26" customWidth="1"/>
    <col min="9" max="9" width="8.57421875" style="26" customWidth="1"/>
    <col min="10" max="11" width="7.8515625" style="28" customWidth="1"/>
    <col min="12" max="12" width="24.421875" style="26" customWidth="1"/>
    <col min="13" max="13" width="5.421875" style="26" customWidth="1"/>
    <col min="14" max="14" width="6.00390625" style="26" customWidth="1"/>
    <col min="15" max="16384" width="9.140625" style="26" customWidth="1"/>
  </cols>
  <sheetData>
    <row r="1" spans="1:8" ht="18" customHeight="1">
      <c r="A1" s="512" t="s">
        <v>0</v>
      </c>
      <c r="B1" s="512"/>
      <c r="C1" s="512"/>
      <c r="D1" s="512"/>
      <c r="E1" s="512"/>
      <c r="F1" s="512"/>
      <c r="G1" s="512"/>
      <c r="H1" s="29"/>
    </row>
    <row r="2" spans="1:14" ht="15.75" customHeight="1">
      <c r="A2" s="513" t="s">
        <v>233</v>
      </c>
      <c r="B2" s="513"/>
      <c r="C2" s="513"/>
      <c r="D2" s="513"/>
      <c r="E2" s="513"/>
      <c r="F2" s="513"/>
      <c r="G2" s="513"/>
      <c r="H2" s="29"/>
      <c r="J2" s="514" t="s">
        <v>28</v>
      </c>
      <c r="K2" s="514"/>
      <c r="M2" s="27"/>
      <c r="N2" s="27"/>
    </row>
    <row r="3" spans="1:14" ht="15.75" customHeight="1">
      <c r="A3" s="30" t="s">
        <v>44</v>
      </c>
      <c r="B3" s="515"/>
      <c r="C3" s="515"/>
      <c r="D3" s="515"/>
      <c r="E3" s="515"/>
      <c r="F3" s="515"/>
      <c r="G3" s="515"/>
      <c r="H3" s="29"/>
      <c r="J3" s="514"/>
      <c r="K3" s="514"/>
      <c r="M3" s="31"/>
      <c r="N3" s="31"/>
    </row>
    <row r="4" spans="1:8" ht="15.75" customHeight="1">
      <c r="A4" s="30" t="s">
        <v>45</v>
      </c>
      <c r="B4" s="515"/>
      <c r="C4" s="515"/>
      <c r="D4" s="515"/>
      <c r="E4" s="515"/>
      <c r="F4" s="515"/>
      <c r="G4" s="515"/>
      <c r="H4" s="29"/>
    </row>
    <row r="5" spans="1:8" ht="15.75" customHeight="1">
      <c r="A5" s="504" t="s">
        <v>46</v>
      </c>
      <c r="B5" s="504"/>
      <c r="C5" s="504"/>
      <c r="D5" s="504"/>
      <c r="E5" s="504"/>
      <c r="F5" s="504"/>
      <c r="G5" s="504"/>
      <c r="H5" s="29"/>
    </row>
    <row r="6" spans="1:8" ht="15.75" customHeight="1">
      <c r="A6" s="509" t="s">
        <v>47</v>
      </c>
      <c r="B6" s="509"/>
      <c r="C6" s="34">
        <v>32000</v>
      </c>
      <c r="D6" s="510"/>
      <c r="E6" s="511" t="s">
        <v>48</v>
      </c>
      <c r="F6" s="511"/>
      <c r="G6" s="36" t="s">
        <v>49</v>
      </c>
      <c r="H6" s="37"/>
    </row>
    <row r="7" spans="1:8" ht="15.75" customHeight="1">
      <c r="A7" s="509" t="s">
        <v>50</v>
      </c>
      <c r="B7" s="509"/>
      <c r="C7" s="34">
        <v>0</v>
      </c>
      <c r="D7" s="510"/>
      <c r="E7" s="509" t="s">
        <v>51</v>
      </c>
      <c r="F7" s="509"/>
      <c r="G7" s="36">
        <v>100</v>
      </c>
      <c r="H7" s="38"/>
    </row>
    <row r="8" spans="1:8" ht="15.75" customHeight="1">
      <c r="A8" s="509" t="s">
        <v>52</v>
      </c>
      <c r="B8" s="509"/>
      <c r="C8" s="34">
        <v>0</v>
      </c>
      <c r="D8" s="510"/>
      <c r="E8" s="509" t="s">
        <v>53</v>
      </c>
      <c r="F8" s="509"/>
      <c r="G8" s="39">
        <v>2018</v>
      </c>
      <c r="H8" s="38"/>
    </row>
    <row r="9" spans="1:15" s="41" customFormat="1" ht="15.75" customHeight="1">
      <c r="A9" s="509" t="s">
        <v>54</v>
      </c>
      <c r="B9" s="509"/>
      <c r="C9" s="34">
        <v>0</v>
      </c>
      <c r="D9" s="510"/>
      <c r="E9" s="510"/>
      <c r="F9" s="510"/>
      <c r="G9" s="40"/>
      <c r="H9" s="38"/>
      <c r="J9" s="42"/>
      <c r="K9" s="26"/>
      <c r="O9" s="26"/>
    </row>
    <row r="10" spans="1:14" ht="15.75" customHeight="1">
      <c r="A10" s="503" t="s">
        <v>55</v>
      </c>
      <c r="B10" s="503"/>
      <c r="C10" s="503"/>
      <c r="D10" s="503"/>
      <c r="E10" s="503"/>
      <c r="F10" s="503"/>
      <c r="G10" s="503"/>
      <c r="H10" s="38"/>
      <c r="I10" s="41"/>
      <c r="J10" s="42"/>
      <c r="K10" s="26"/>
      <c r="L10" s="41"/>
      <c r="M10" s="41"/>
      <c r="N10" s="41"/>
    </row>
    <row r="11" spans="1:12" ht="15.75" customHeight="1">
      <c r="A11" s="504" t="s">
        <v>56</v>
      </c>
      <c r="B11" s="504"/>
      <c r="C11" s="504"/>
      <c r="D11" s="505"/>
      <c r="E11" s="504" t="s">
        <v>57</v>
      </c>
      <c r="F11" s="504"/>
      <c r="G11" s="504"/>
      <c r="H11" s="38"/>
      <c r="I11" s="41"/>
      <c r="J11" s="42"/>
      <c r="K11" s="26"/>
      <c r="L11" s="41"/>
    </row>
    <row r="12" spans="1:12" ht="15.75" customHeight="1">
      <c r="A12" s="43" t="s">
        <v>58</v>
      </c>
      <c r="B12" s="36"/>
      <c r="C12" s="44">
        <f>+C6*MCCAL!B8/100</f>
        <v>536.32</v>
      </c>
      <c r="D12" s="505"/>
      <c r="E12" s="43" t="s">
        <v>59</v>
      </c>
      <c r="F12" s="45"/>
      <c r="G12" s="44">
        <f>MCCAL!B11</f>
        <v>714</v>
      </c>
      <c r="H12" s="38"/>
      <c r="I12" s="41"/>
      <c r="J12" s="42"/>
      <c r="K12" s="26"/>
      <c r="L12" s="41"/>
    </row>
    <row r="13" spans="1:12" ht="15.75" customHeight="1">
      <c r="A13" s="43" t="s">
        <v>60</v>
      </c>
      <c r="B13" s="36"/>
      <c r="C13" s="44">
        <f>IF(C7&gt;0,4%*C7,0)</f>
        <v>0</v>
      </c>
      <c r="D13" s="505"/>
      <c r="E13" s="43" t="s">
        <v>61</v>
      </c>
      <c r="F13" s="36" t="s">
        <v>62</v>
      </c>
      <c r="G13" s="44">
        <f>IF(F13="Yes",360,0)</f>
        <v>360</v>
      </c>
      <c r="H13" s="38"/>
      <c r="I13" s="41"/>
      <c r="J13" s="42"/>
      <c r="K13" s="26"/>
      <c r="L13" s="41"/>
    </row>
    <row r="14" spans="1:13" ht="15.75" customHeight="1">
      <c r="A14" s="43" t="s">
        <v>63</v>
      </c>
      <c r="B14" s="35"/>
      <c r="C14" s="44">
        <f>IF(C8&gt;0,4%*C8,0)</f>
        <v>0</v>
      </c>
      <c r="D14" s="505"/>
      <c r="E14" s="43" t="s">
        <v>64</v>
      </c>
      <c r="F14" s="46"/>
      <c r="G14" s="44">
        <f>IF(C8&gt;0,60,0)</f>
        <v>0</v>
      </c>
      <c r="H14" s="38"/>
      <c r="I14" s="41"/>
      <c r="J14" s="42"/>
      <c r="K14" s="26"/>
      <c r="L14" s="41"/>
      <c r="M14" s="47"/>
    </row>
    <row r="15" spans="1:13" ht="15.75" customHeight="1">
      <c r="A15" s="43" t="s">
        <v>54</v>
      </c>
      <c r="B15" s="35"/>
      <c r="C15" s="44">
        <f>IF(C9&gt;0,3%*C9,0)</f>
        <v>0</v>
      </c>
      <c r="D15" s="505"/>
      <c r="E15" s="43"/>
      <c r="F15" s="43"/>
      <c r="G15" s="43"/>
      <c r="H15" s="38"/>
      <c r="I15" s="41"/>
      <c r="J15" s="42"/>
      <c r="K15" s="26"/>
      <c r="L15" s="41"/>
      <c r="M15" s="47"/>
    </row>
    <row r="16" spans="1:13" ht="15.75" customHeight="1">
      <c r="A16" s="48" t="s">
        <v>65</v>
      </c>
      <c r="B16" s="36"/>
      <c r="C16" s="44">
        <f>SUM(C12+C13+C14+C15)</f>
        <v>536.32</v>
      </c>
      <c r="D16" s="505"/>
      <c r="E16" s="48" t="s">
        <v>66</v>
      </c>
      <c r="F16" s="49"/>
      <c r="G16" s="44">
        <f>SUM(G12:G14)</f>
        <v>1074</v>
      </c>
      <c r="H16" s="38"/>
      <c r="I16" s="41"/>
      <c r="J16" s="42"/>
      <c r="K16" s="26"/>
      <c r="L16" s="41"/>
      <c r="M16" s="47"/>
    </row>
    <row r="17" spans="1:13" ht="15.75" customHeight="1">
      <c r="A17" s="43" t="s">
        <v>67</v>
      </c>
      <c r="B17" s="50">
        <v>0.3</v>
      </c>
      <c r="C17" s="44">
        <f>C16*B17</f>
        <v>160.89600000000002</v>
      </c>
      <c r="D17" s="505"/>
      <c r="E17" s="43" t="s">
        <v>68</v>
      </c>
      <c r="F17" s="36" t="s">
        <v>62</v>
      </c>
      <c r="G17" s="44">
        <f>IF(F17="Yes",0.7*F18*G18/1000,0)</f>
        <v>0</v>
      </c>
      <c r="H17" s="38"/>
      <c r="I17" s="41"/>
      <c r="J17" s="42"/>
      <c r="K17" s="26"/>
      <c r="L17" s="41"/>
      <c r="M17" s="47"/>
    </row>
    <row r="18" spans="1:13" ht="15.75" customHeight="1">
      <c r="A18" s="33" t="s">
        <v>224</v>
      </c>
      <c r="B18" s="338">
        <v>0</v>
      </c>
      <c r="C18" s="26">
        <f>C6*B18</f>
        <v>0</v>
      </c>
      <c r="D18" s="505"/>
      <c r="E18" s="43" t="str">
        <f>IF(F17="Yes","No of Seats/PA Limit","")</f>
        <v>No of Seats/PA Limit</v>
      </c>
      <c r="F18" s="45">
        <v>0</v>
      </c>
      <c r="G18" s="52">
        <v>50000</v>
      </c>
      <c r="H18" s="38"/>
      <c r="I18" s="41"/>
      <c r="J18" s="42"/>
      <c r="K18" s="26"/>
      <c r="L18" s="41"/>
      <c r="M18" s="47"/>
    </row>
    <row r="19" spans="1:12" ht="15.75" customHeight="1">
      <c r="A19" s="43" t="s">
        <v>69</v>
      </c>
      <c r="B19" s="51" t="s">
        <v>37</v>
      </c>
      <c r="C19" s="44">
        <f>C6*A55/10</f>
        <v>0</v>
      </c>
      <c r="D19" s="505"/>
      <c r="E19" s="43"/>
      <c r="F19" s="45"/>
      <c r="G19" s="52"/>
      <c r="H19" s="38"/>
      <c r="I19" s="41"/>
      <c r="J19" s="42"/>
      <c r="K19" s="26"/>
      <c r="L19" s="41"/>
    </row>
    <row r="20" spans="1:13" ht="15.75" customHeight="1">
      <c r="A20" s="43" t="s">
        <v>70</v>
      </c>
      <c r="B20" s="36" t="s">
        <v>37</v>
      </c>
      <c r="C20" s="44">
        <f>IF(B20="Yes",500,0)</f>
        <v>0</v>
      </c>
      <c r="D20" s="505"/>
      <c r="E20" s="43" t="s">
        <v>72</v>
      </c>
      <c r="F20" s="45"/>
      <c r="G20" s="44">
        <f>IF(B21&gt;0,15+(10*(B21-1)),0)</f>
        <v>0</v>
      </c>
      <c r="H20" s="38"/>
      <c r="I20" s="41"/>
      <c r="J20" s="42"/>
      <c r="K20" s="26"/>
      <c r="L20" s="41"/>
      <c r="M20" s="47"/>
    </row>
    <row r="21" spans="1:14" ht="15.75" customHeight="1">
      <c r="A21" s="43" t="s">
        <v>71</v>
      </c>
      <c r="B21" s="36">
        <v>0</v>
      </c>
      <c r="C21" s="44">
        <f>IF(B21&gt;0,20+(10*(B21-1)),0)</f>
        <v>0</v>
      </c>
      <c r="D21" s="505"/>
      <c r="F21" s="45"/>
      <c r="G21" s="44"/>
      <c r="H21" s="38"/>
      <c r="I21" s="41"/>
      <c r="J21" s="42"/>
      <c r="K21" s="26"/>
      <c r="L21" s="41"/>
      <c r="M21" s="42"/>
      <c r="N21" s="41"/>
    </row>
    <row r="22" spans="1:12" ht="15.75" customHeight="1">
      <c r="A22" s="43" t="s">
        <v>73</v>
      </c>
      <c r="B22" s="36" t="s">
        <v>37</v>
      </c>
      <c r="C22" s="44">
        <f>IF(B22="Yes",50,0)</f>
        <v>0</v>
      </c>
      <c r="D22" s="505"/>
      <c r="E22" s="43"/>
      <c r="F22" s="45"/>
      <c r="G22" s="44"/>
      <c r="H22" s="38"/>
      <c r="I22" s="41"/>
      <c r="J22" s="42"/>
      <c r="K22" s="26"/>
      <c r="L22" s="41"/>
    </row>
    <row r="23" spans="1:12" ht="15.75" customHeight="1">
      <c r="A23" s="48" t="s">
        <v>74</v>
      </c>
      <c r="B23" s="36"/>
      <c r="C23" s="44">
        <f>SUM(C16:C22)</f>
        <v>697.2160000000001</v>
      </c>
      <c r="D23" s="505"/>
      <c r="E23" s="48" t="s">
        <v>75</v>
      </c>
      <c r="F23" s="45"/>
      <c r="G23" s="44">
        <f>G16+G17</f>
        <v>1074</v>
      </c>
      <c r="H23" s="38"/>
      <c r="I23" s="41"/>
      <c r="J23" s="42"/>
      <c r="K23" s="26"/>
      <c r="L23" s="41"/>
    </row>
    <row r="24" spans="1:13" ht="15.75" customHeight="1">
      <c r="A24" s="43" t="s">
        <v>76</v>
      </c>
      <c r="B24" s="36" t="s">
        <v>37</v>
      </c>
      <c r="C24" s="44">
        <f>IF(B24="Yes",MIN(500,2.5%*C16),0)</f>
        <v>0</v>
      </c>
      <c r="D24" s="505"/>
      <c r="E24" s="43" t="s">
        <v>77</v>
      </c>
      <c r="F24" s="53">
        <v>100000</v>
      </c>
      <c r="G24" s="44">
        <f>IF(F24=100000,0,50)</f>
        <v>0</v>
      </c>
      <c r="H24" s="38"/>
      <c r="I24" s="41"/>
      <c r="J24" s="42"/>
      <c r="K24" s="26"/>
      <c r="L24" s="41"/>
      <c r="M24" s="47"/>
    </row>
    <row r="25" spans="1:13" ht="15.75" customHeight="1">
      <c r="A25" s="43" t="s">
        <v>78</v>
      </c>
      <c r="B25" s="36" t="s">
        <v>37</v>
      </c>
      <c r="C25" s="44">
        <f>IF(B25="Yes",50%*C16,0)</f>
        <v>0</v>
      </c>
      <c r="D25" s="505"/>
      <c r="E25" s="43"/>
      <c r="F25" s="45"/>
      <c r="G25" s="44"/>
      <c r="H25" s="38"/>
      <c r="I25" s="41"/>
      <c r="J25" s="42"/>
      <c r="K25" s="26"/>
      <c r="L25" s="41"/>
      <c r="M25" s="47"/>
    </row>
    <row r="26" spans="1:13" ht="15.75" customHeight="1">
      <c r="A26" s="43" t="s">
        <v>79</v>
      </c>
      <c r="B26" s="36" t="s">
        <v>37</v>
      </c>
      <c r="C26" s="44">
        <f>IF(B26="Yes",MIN(50,5%*C16),0)</f>
        <v>0</v>
      </c>
      <c r="D26" s="505"/>
      <c r="E26" s="43"/>
      <c r="F26" s="43"/>
      <c r="G26" s="43"/>
      <c r="H26" s="38"/>
      <c r="I26" s="41"/>
      <c r="J26" s="42"/>
      <c r="K26" s="26"/>
      <c r="L26" s="41"/>
      <c r="M26" s="47"/>
    </row>
    <row r="27" spans="1:13" ht="15.75" customHeight="1">
      <c r="A27" s="43" t="s">
        <v>80</v>
      </c>
      <c r="B27" s="36" t="s">
        <v>37</v>
      </c>
      <c r="C27" s="44">
        <f>IF(B27="Yes",33.33%*C16,0)</f>
        <v>0</v>
      </c>
      <c r="D27" s="505"/>
      <c r="E27" s="43"/>
      <c r="F27" s="43"/>
      <c r="G27" s="43"/>
      <c r="H27" s="38"/>
      <c r="L27" s="28"/>
      <c r="M27" s="47"/>
    </row>
    <row r="28" spans="1:13" ht="15.75" customHeight="1">
      <c r="A28" s="43" t="s">
        <v>81</v>
      </c>
      <c r="B28" s="54">
        <v>0</v>
      </c>
      <c r="C28" s="44">
        <f>VLOOKUP(B28,MCT!H22:I27,2)</f>
        <v>0</v>
      </c>
      <c r="D28" s="505"/>
      <c r="E28" s="43"/>
      <c r="F28" s="45"/>
      <c r="G28" s="44"/>
      <c r="H28" s="38"/>
      <c r="K28" s="26"/>
      <c r="L28" s="28"/>
      <c r="M28" s="47"/>
    </row>
    <row r="29" spans="1:13" ht="15.75" customHeight="1">
      <c r="A29" s="48" t="s">
        <v>82</v>
      </c>
      <c r="B29" s="36"/>
      <c r="C29" s="44">
        <f>C23-SUM(C24:C28)</f>
        <v>697.2160000000001</v>
      </c>
      <c r="D29" s="505"/>
      <c r="E29" s="48" t="s">
        <v>83</v>
      </c>
      <c r="F29" s="45"/>
      <c r="G29" s="44"/>
      <c r="H29" s="38"/>
      <c r="K29" s="26"/>
      <c r="L29" s="28"/>
      <c r="M29" s="55"/>
    </row>
    <row r="30" spans="1:13" ht="15.75" customHeight="1">
      <c r="A30" s="43" t="s">
        <v>84</v>
      </c>
      <c r="B30" s="56">
        <v>0.35</v>
      </c>
      <c r="C30" s="44">
        <f>(C29-C31-C33-C17)*B30</f>
        <v>75.08480000000002</v>
      </c>
      <c r="D30" s="505"/>
      <c r="E30" s="43"/>
      <c r="F30" s="57"/>
      <c r="G30" s="44"/>
      <c r="H30" s="38"/>
      <c r="K30" s="26"/>
      <c r="L30" s="28"/>
      <c r="M30" s="55"/>
    </row>
    <row r="31" spans="1:12" ht="15.75" customHeight="1">
      <c r="A31" s="43" t="s">
        <v>85</v>
      </c>
      <c r="B31" s="50">
        <v>0.6</v>
      </c>
      <c r="C31" s="44">
        <f>C16*B31</f>
        <v>321.79200000000003</v>
      </c>
      <c r="D31" s="505"/>
      <c r="E31" s="43"/>
      <c r="F31" s="57"/>
      <c r="G31" s="44"/>
      <c r="H31" s="38"/>
      <c r="K31" s="26"/>
      <c r="L31" s="28"/>
    </row>
    <row r="32" spans="1:13" s="155" customFormat="1" ht="14.25" customHeight="1">
      <c r="A32" s="126" t="s">
        <v>226</v>
      </c>
      <c r="B32" s="171">
        <v>0.2</v>
      </c>
      <c r="C32" s="55">
        <f>C17*B32</f>
        <v>32.1792</v>
      </c>
      <c r="D32" s="505"/>
      <c r="E32" s="43"/>
      <c r="F32" s="177"/>
      <c r="G32" s="163"/>
      <c r="H32" s="38"/>
      <c r="K32" s="41"/>
      <c r="L32" s="41"/>
      <c r="M32" s="41"/>
    </row>
    <row r="33" spans="1:12" ht="15.75" customHeight="1">
      <c r="A33" s="43" t="s">
        <v>225</v>
      </c>
      <c r="B33" s="50">
        <v>0</v>
      </c>
      <c r="C33" s="44">
        <f>C17*B33</f>
        <v>0</v>
      </c>
      <c r="D33" s="505"/>
      <c r="E33" s="43"/>
      <c r="F33" s="57"/>
      <c r="G33" s="44"/>
      <c r="H33" s="38"/>
      <c r="K33" s="26"/>
      <c r="L33" s="28"/>
    </row>
    <row r="34" spans="1:11" ht="15.75" customHeight="1">
      <c r="A34" s="48" t="s">
        <v>86</v>
      </c>
      <c r="B34" s="36"/>
      <c r="C34" s="58">
        <f>C29-(C30+C31+C33)</f>
        <v>300.33920000000006</v>
      </c>
      <c r="D34" s="505"/>
      <c r="E34" s="48" t="s">
        <v>87</v>
      </c>
      <c r="F34" s="45"/>
      <c r="G34" s="58">
        <f>G23-G24</f>
        <v>1074</v>
      </c>
      <c r="H34" s="38"/>
      <c r="K34" s="26"/>
    </row>
    <row r="35" spans="1:11" ht="15.75" customHeight="1">
      <c r="A35" s="28"/>
      <c r="B35" s="59"/>
      <c r="C35" s="60"/>
      <c r="D35" s="60"/>
      <c r="E35" s="28"/>
      <c r="F35" s="28"/>
      <c r="G35" s="38"/>
      <c r="H35" s="61"/>
      <c r="I35" s="62"/>
      <c r="K35" s="26"/>
    </row>
    <row r="36" spans="1:11" ht="15.75" customHeight="1">
      <c r="A36" s="506"/>
      <c r="B36" s="63"/>
      <c r="C36" s="35"/>
      <c r="D36" s="35"/>
      <c r="E36" s="64" t="s">
        <v>88</v>
      </c>
      <c r="F36" s="65" t="s">
        <v>89</v>
      </c>
      <c r="G36" s="66" t="s">
        <v>38</v>
      </c>
      <c r="H36" s="67"/>
      <c r="K36" s="26"/>
    </row>
    <row r="37" spans="1:11" ht="15.75" customHeight="1">
      <c r="A37" s="506"/>
      <c r="B37" s="507" t="s">
        <v>90</v>
      </c>
      <c r="C37" s="507"/>
      <c r="D37" s="507"/>
      <c r="E37" s="68">
        <f>C34</f>
        <v>300.33920000000006</v>
      </c>
      <c r="F37" s="44">
        <f>G34</f>
        <v>1074</v>
      </c>
      <c r="G37" s="58">
        <f>SUM(E37:F37)</f>
        <v>1374.3392000000001</v>
      </c>
      <c r="H37" s="67"/>
      <c r="K37" s="26"/>
    </row>
    <row r="38" spans="1:11" ht="15.75" customHeight="1">
      <c r="A38" s="506"/>
      <c r="B38" s="507" t="s">
        <v>91</v>
      </c>
      <c r="C38" s="507"/>
      <c r="D38" s="507"/>
      <c r="E38" s="68">
        <f>E37*0.18</f>
        <v>54.06105600000001</v>
      </c>
      <c r="F38" s="68">
        <f>F37*0.18</f>
        <v>193.32</v>
      </c>
      <c r="G38" s="68">
        <f>G37*0.18</f>
        <v>247.381056</v>
      </c>
      <c r="H38" s="69"/>
      <c r="K38" s="26"/>
    </row>
    <row r="39" spans="1:7" ht="15.75" customHeight="1">
      <c r="A39" s="506"/>
      <c r="B39" s="508" t="s">
        <v>40</v>
      </c>
      <c r="C39" s="508"/>
      <c r="D39" s="508"/>
      <c r="E39" s="70">
        <f>SUM(E37:E38)</f>
        <v>354.40025600000007</v>
      </c>
      <c r="F39" s="71">
        <f>SUM(F37:F38)</f>
        <v>1267.32</v>
      </c>
      <c r="G39" s="72">
        <f>SUM(G37:G38)</f>
        <v>1621.720256</v>
      </c>
    </row>
    <row r="40" spans="5:7" ht="15.75" customHeight="1">
      <c r="E40" s="69"/>
      <c r="F40" s="69"/>
      <c r="G40" s="69"/>
    </row>
    <row r="41" spans="1:11" ht="13.5">
      <c r="A41" s="502" t="s">
        <v>220</v>
      </c>
      <c r="B41" s="502"/>
      <c r="C41" s="27"/>
      <c r="K41" s="26"/>
    </row>
    <row r="42" spans="1:11" ht="13.5">
      <c r="A42" s="394" t="s">
        <v>215</v>
      </c>
      <c r="B42" s="394" t="s">
        <v>216</v>
      </c>
      <c r="C42" s="27"/>
      <c r="J42" s="26"/>
      <c r="K42" s="26"/>
    </row>
    <row r="43" spans="1:11" ht="13.5">
      <c r="A43" s="387" t="s">
        <v>217</v>
      </c>
      <c r="B43" s="395">
        <v>0.1</v>
      </c>
      <c r="C43" s="27"/>
      <c r="J43" s="26"/>
      <c r="K43" s="26"/>
    </row>
    <row r="44" spans="1:11" ht="13.5">
      <c r="A44" s="387" t="s">
        <v>218</v>
      </c>
      <c r="B44" s="395">
        <v>0.2</v>
      </c>
      <c r="C44" s="27"/>
      <c r="J44" s="26"/>
      <c r="K44" s="26"/>
    </row>
    <row r="45" spans="1:11" ht="13.5">
      <c r="A45" s="387" t="s">
        <v>219</v>
      </c>
      <c r="B45" s="395">
        <v>0.3</v>
      </c>
      <c r="C45" s="27"/>
      <c r="J45" s="26"/>
      <c r="K45" s="26"/>
    </row>
    <row r="52" ht="15.75" customHeight="1" hidden="1"/>
    <row r="53" ht="15.75" customHeight="1" hidden="1"/>
    <row r="54" spans="1:2" ht="15.75" customHeight="1" hidden="1">
      <c r="A54" s="73" t="s">
        <v>92</v>
      </c>
      <c r="B54" s="73" t="s">
        <v>93</v>
      </c>
    </row>
    <row r="55" spans="1:2" ht="15.75" customHeight="1" hidden="1">
      <c r="A55" s="73" t="b">
        <f>IF(B19="Yes",IF(B55=0,3%,IF(B55=1,4%,IF(B55=2,6%,0))))</f>
        <v>0</v>
      </c>
      <c r="B55" s="74">
        <f ca="1">YEAR(TODAY())-(G8)</f>
        <v>4</v>
      </c>
    </row>
  </sheetData>
  <sheetProtection sheet="1"/>
  <mergeCells count="24">
    <mergeCell ref="A1:G1"/>
    <mergeCell ref="A2:G2"/>
    <mergeCell ref="J2:K3"/>
    <mergeCell ref="B3:G3"/>
    <mergeCell ref="B4:G4"/>
    <mergeCell ref="A5:G5"/>
    <mergeCell ref="A6:B6"/>
    <mergeCell ref="D6:D9"/>
    <mergeCell ref="E6:F6"/>
    <mergeCell ref="A7:B7"/>
    <mergeCell ref="E7:F7"/>
    <mergeCell ref="A8:B8"/>
    <mergeCell ref="E8:F8"/>
    <mergeCell ref="A9:B9"/>
    <mergeCell ref="E9:F9"/>
    <mergeCell ref="A41:B41"/>
    <mergeCell ref="A10:G10"/>
    <mergeCell ref="A11:C11"/>
    <mergeCell ref="D11:D34"/>
    <mergeCell ref="E11:G11"/>
    <mergeCell ref="A36:A39"/>
    <mergeCell ref="B37:D37"/>
    <mergeCell ref="B38:D38"/>
    <mergeCell ref="B39:D39"/>
  </mergeCells>
  <dataValidations count="12">
    <dataValidation type="list" allowBlank="1" showErrorMessage="1" sqref="B8 F13 B24:B27 B19:B20 B22 F17">
      <formula1>"Yes,No"</formula1>
      <formula2>0</formula2>
    </dataValidation>
    <dataValidation type="list" allowBlank="1" showErrorMessage="1" sqref="B28">
      <formula1>"0,500,750,1000,1500,3000"</formula1>
      <formula2>0</formula2>
    </dataValidation>
    <dataValidation type="list" allowBlank="1" showErrorMessage="1" sqref="B30">
      <formula1>"0%,20%,25%,35%,45%,50%,"</formula1>
      <formula2>0</formula2>
    </dataValidation>
    <dataValidation type="list" allowBlank="1" showErrorMessage="1" sqref="F24">
      <formula1>"6000,100000"</formula1>
      <formula2>0</formula2>
    </dataValidation>
    <dataValidation type="list" allowBlank="1" showErrorMessage="1" sqref="G18:G19">
      <formula1>"10000,20000,30000,40000,50000,60000,70000,80000,90000,100000,110000,120000,130000,140000,150000,160000,170000,180000,190000,200000"</formula1>
      <formula2>0</formula2>
    </dataValidation>
    <dataValidation type="list" allowBlank="1" showErrorMessage="1" sqref="F30:F31 F33">
      <formula1>"0%,5%,15%"</formula1>
      <formula2>0</formula2>
    </dataValidation>
    <dataValidation type="list" allowBlank="1" showErrorMessage="1" sqref="G6">
      <formula1>"A,B"</formula1>
      <formula2>0</formula2>
    </dataValidation>
    <dataValidation allowBlank="1" showErrorMessage="1" sqref="B31">
      <formula1>0</formula1>
      <formula2>0</formula2>
    </dataValidation>
    <dataValidation type="list" allowBlank="1" showErrorMessage="1" sqref="B17">
      <formula1>"0,10%,20%,30%,"</formula1>
    </dataValidation>
    <dataValidation type="list" allowBlank="1" showErrorMessage="1" sqref="B33">
      <formula1>"0%,5%"</formula1>
    </dataValidation>
    <dataValidation type="list" allowBlank="1" showInputMessage="1" showErrorMessage="1" sqref="B18">
      <formula1>"0%,.14%"</formula1>
    </dataValidation>
    <dataValidation type="list" allowBlank="1" showErrorMessage="1" sqref="B32">
      <formula1>"0,20%"</formula1>
    </dataValidation>
  </dataValidations>
  <hyperlinks>
    <hyperlink ref="J2" location="HyperLink!A1" display="BACK TO HYPERLINK"/>
  </hyperlinks>
  <printOptions/>
  <pageMargins left="0.31527777777777777" right="0" top="0.9451388888888889" bottom="0.7479166666666667" header="0.5118055555555555" footer="0.511805555555555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35.00390625" style="75" customWidth="1"/>
    <col min="2" max="2" width="6.7109375" style="75" customWidth="1"/>
    <col min="3" max="16384" width="9.140625" style="75" customWidth="1"/>
  </cols>
  <sheetData>
    <row r="1" spans="1:3" ht="15.75">
      <c r="A1" s="76"/>
      <c r="B1" s="76"/>
      <c r="C1" s="76"/>
    </row>
    <row r="2" spans="1:3" ht="15.75">
      <c r="A2" s="516" t="s">
        <v>94</v>
      </c>
      <c r="B2" s="516"/>
      <c r="C2" s="76"/>
    </row>
    <row r="3" spans="1:3" ht="15.75">
      <c r="A3" s="76"/>
      <c r="B3" s="76"/>
      <c r="C3" s="76"/>
    </row>
    <row r="4" spans="1:3" ht="15.75">
      <c r="A4" s="77" t="s">
        <v>48</v>
      </c>
      <c r="B4" s="77" t="str">
        <f>+'2 Wheeler'!G6</f>
        <v>B</v>
      </c>
      <c r="C4" s="76"/>
    </row>
    <row r="5" spans="1:3" ht="15.75">
      <c r="A5" s="77" t="s">
        <v>51</v>
      </c>
      <c r="B5" s="78">
        <f>+'2 Wheeler'!G7</f>
        <v>100</v>
      </c>
      <c r="C5" s="76"/>
    </row>
    <row r="6" spans="1:3" ht="15.75">
      <c r="A6" s="77" t="s">
        <v>95</v>
      </c>
      <c r="B6" s="78">
        <f ca="1">YEAR(TODAY())-'2 Wheeler'!G8+1</f>
        <v>5</v>
      </c>
      <c r="C6" s="76"/>
    </row>
    <row r="7" spans="1:3" ht="15.75">
      <c r="A7" s="77" t="s">
        <v>96</v>
      </c>
      <c r="B7" s="78">
        <f>(IF(B4="A",IF(B5&lt;76,1,IF(B5&lt;151,3,IF(B5&lt;351,5,7))),IF(B5&lt;76,2,IF(B5&lt;151,4,IF(B5&lt;351,6,8))))+1)</f>
        <v>5</v>
      </c>
      <c r="C7" s="76"/>
    </row>
    <row r="8" spans="1:3" ht="15.75">
      <c r="A8" s="77" t="s">
        <v>97</v>
      </c>
      <c r="B8" s="78">
        <f>VLOOKUP(B6,MCT!A7:I9,MCCAL!B7)</f>
        <v>1.676</v>
      </c>
      <c r="C8" s="76"/>
    </row>
    <row r="9" spans="1:3" ht="15.75">
      <c r="A9" s="76"/>
      <c r="B9" s="76"/>
      <c r="C9" s="76"/>
    </row>
    <row r="10" spans="1:3" ht="15.75">
      <c r="A10" s="79" t="s">
        <v>98</v>
      </c>
      <c r="B10" s="76"/>
      <c r="C10" s="76"/>
    </row>
    <row r="11" spans="1:3" ht="15.75">
      <c r="A11" s="76" t="s">
        <v>99</v>
      </c>
      <c r="B11" s="76">
        <f>VLOOKUP(B6,MCT!A13:I15,MCCAL!B7)</f>
        <v>714</v>
      </c>
      <c r="C11" s="76"/>
    </row>
    <row r="12" spans="1:3" ht="15.75">
      <c r="A12" s="76"/>
      <c r="B12" s="76"/>
      <c r="C12" s="76"/>
    </row>
    <row r="13" spans="1:3" ht="15.75">
      <c r="A13" s="76"/>
      <c r="B13" s="76"/>
      <c r="C13" s="76"/>
    </row>
    <row r="14" spans="1:3" ht="15.75">
      <c r="A14" s="76"/>
      <c r="B14" s="76"/>
      <c r="C14" s="76"/>
    </row>
    <row r="15" spans="1:3" ht="15.75">
      <c r="A15" s="76"/>
      <c r="B15" s="76"/>
      <c r="C15" s="76"/>
    </row>
    <row r="16" spans="1:3" ht="15.75">
      <c r="A16" s="79"/>
      <c r="B16" s="76"/>
      <c r="C16" s="76"/>
    </row>
    <row r="17" spans="1:3" ht="15.75">
      <c r="A17" s="76"/>
      <c r="B17" s="76"/>
      <c r="C17" s="76"/>
    </row>
    <row r="18" spans="1:3" ht="15.75">
      <c r="A18" s="76"/>
      <c r="B18" s="76"/>
      <c r="C18" s="76"/>
    </row>
    <row r="19" spans="1:3" ht="15.75">
      <c r="A19" s="76"/>
      <c r="B19" s="76"/>
      <c r="C19" s="76"/>
    </row>
    <row r="20" spans="1:3" ht="15.75">
      <c r="A20" s="76"/>
      <c r="C20" s="76"/>
    </row>
    <row r="21" spans="1:3" ht="15.75">
      <c r="A21" s="76"/>
      <c r="B21" s="76"/>
      <c r="C21" s="76"/>
    </row>
    <row r="22" spans="1:3" ht="15.75">
      <c r="A22" s="76"/>
      <c r="B22" s="76"/>
      <c r="C22" s="76"/>
    </row>
    <row r="23" spans="1:3" ht="15.75">
      <c r="A23" s="76"/>
      <c r="B23" s="76"/>
      <c r="C23" s="76"/>
    </row>
    <row r="24" spans="1:3" ht="15.75">
      <c r="A24" s="79"/>
      <c r="B24" s="76"/>
      <c r="C24" s="76"/>
    </row>
    <row r="25" spans="1:3" ht="15.75">
      <c r="A25" s="76"/>
      <c r="B25" s="76"/>
      <c r="C25" s="76"/>
    </row>
  </sheetData>
  <sheetProtection selectLockedCells="1" selectUnlockedCells="1"/>
  <mergeCells count="1">
    <mergeCell ref="A2: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41"/>
  <sheetViews>
    <sheetView zoomScale="130" zoomScaleNormal="130" zoomScalePageLayoutView="0" workbookViewId="0" topLeftCell="A1">
      <selection activeCell="B13" sqref="B13"/>
    </sheetView>
  </sheetViews>
  <sheetFormatPr defaultColWidth="9.140625" defaultRowHeight="12.75"/>
  <cols>
    <col min="1" max="1" width="8.8515625" style="80" customWidth="1"/>
    <col min="2" max="9" width="8.8515625" style="81" customWidth="1"/>
    <col min="10" max="16384" width="9.140625" style="81" customWidth="1"/>
  </cols>
  <sheetData>
    <row r="3" ht="12">
      <c r="B3" s="81" t="s">
        <v>100</v>
      </c>
    </row>
    <row r="4" spans="1:9" ht="12.75">
      <c r="A4" s="82" t="s">
        <v>101</v>
      </c>
      <c r="B4" s="522" t="s">
        <v>102</v>
      </c>
      <c r="C4" s="522"/>
      <c r="D4" s="522"/>
      <c r="E4" s="522"/>
      <c r="F4" s="522"/>
      <c r="G4" s="522"/>
      <c r="H4" s="522"/>
      <c r="I4" s="522"/>
    </row>
    <row r="5" spans="1:9" ht="12">
      <c r="A5" s="84"/>
      <c r="B5" s="523">
        <v>75</v>
      </c>
      <c r="C5" s="523"/>
      <c r="D5" s="518">
        <v>150</v>
      </c>
      <c r="E5" s="518"/>
      <c r="F5" s="517">
        <v>350</v>
      </c>
      <c r="G5" s="517"/>
      <c r="H5" s="519">
        <v>9999</v>
      </c>
      <c r="I5" s="519"/>
    </row>
    <row r="6" spans="1:9" s="87" customFormat="1" ht="12.75">
      <c r="A6" s="85"/>
      <c r="B6" s="83" t="s">
        <v>103</v>
      </c>
      <c r="C6" s="83" t="s">
        <v>49</v>
      </c>
      <c r="D6" s="83" t="s">
        <v>103</v>
      </c>
      <c r="E6" s="83" t="s">
        <v>49</v>
      </c>
      <c r="F6" s="83" t="s">
        <v>103</v>
      </c>
      <c r="G6" s="83" t="s">
        <v>49</v>
      </c>
      <c r="H6" s="83" t="s">
        <v>103</v>
      </c>
      <c r="I6" s="86" t="s">
        <v>49</v>
      </c>
    </row>
    <row r="7" spans="1:9" ht="12">
      <c r="A7" s="84">
        <v>0</v>
      </c>
      <c r="B7" s="88">
        <v>1.708</v>
      </c>
      <c r="C7" s="88">
        <v>1.676</v>
      </c>
      <c r="D7" s="88">
        <v>1.708</v>
      </c>
      <c r="E7" s="88">
        <v>1.676</v>
      </c>
      <c r="F7" s="88">
        <v>1.793</v>
      </c>
      <c r="G7" s="88">
        <v>1.76</v>
      </c>
      <c r="H7" s="88">
        <v>1.879</v>
      </c>
      <c r="I7" s="89">
        <v>1.844</v>
      </c>
    </row>
    <row r="8" spans="1:9" ht="12">
      <c r="A8" s="84">
        <v>6</v>
      </c>
      <c r="B8" s="88">
        <v>1.793</v>
      </c>
      <c r="C8" s="88">
        <v>1.76</v>
      </c>
      <c r="D8" s="88">
        <v>1.793</v>
      </c>
      <c r="E8" s="88">
        <v>1.76</v>
      </c>
      <c r="F8" s="88">
        <v>1.883</v>
      </c>
      <c r="G8" s="88">
        <v>1.848</v>
      </c>
      <c r="H8" s="88">
        <v>1.973</v>
      </c>
      <c r="I8" s="89">
        <v>1.936</v>
      </c>
    </row>
    <row r="9" spans="1:9" ht="12">
      <c r="A9" s="84">
        <v>11</v>
      </c>
      <c r="B9" s="90">
        <v>1.836</v>
      </c>
      <c r="C9" s="90">
        <v>1.802</v>
      </c>
      <c r="D9" s="90">
        <v>1.836</v>
      </c>
      <c r="E9" s="90">
        <v>1.802</v>
      </c>
      <c r="F9" s="90">
        <v>1.928</v>
      </c>
      <c r="G9" s="90">
        <v>1.892</v>
      </c>
      <c r="H9" s="90">
        <v>2.02</v>
      </c>
      <c r="I9" s="91">
        <v>1.982</v>
      </c>
    </row>
    <row r="10" spans="1:9" ht="12">
      <c r="A10" s="92"/>
      <c r="B10" s="517" t="s">
        <v>104</v>
      </c>
      <c r="C10" s="517"/>
      <c r="D10" s="517"/>
      <c r="E10" s="517"/>
      <c r="F10" s="517"/>
      <c r="G10" s="517"/>
      <c r="H10" s="517"/>
      <c r="I10" s="517"/>
    </row>
    <row r="11" spans="1:9" ht="12">
      <c r="A11" s="84"/>
      <c r="B11" s="517">
        <v>75</v>
      </c>
      <c r="C11" s="517"/>
      <c r="D11" s="518">
        <v>150</v>
      </c>
      <c r="E11" s="518"/>
      <c r="F11" s="93">
        <v>350</v>
      </c>
      <c r="G11" s="94"/>
      <c r="H11" s="519">
        <v>9999</v>
      </c>
      <c r="I11" s="519"/>
    </row>
    <row r="12" spans="1:9" ht="12">
      <c r="A12" s="84"/>
      <c r="B12" s="95" t="s">
        <v>103</v>
      </c>
      <c r="C12" s="95" t="s">
        <v>49</v>
      </c>
      <c r="D12" s="95" t="s">
        <v>103</v>
      </c>
      <c r="E12" s="95" t="s">
        <v>49</v>
      </c>
      <c r="F12" s="95" t="s">
        <v>103</v>
      </c>
      <c r="G12" s="95" t="s">
        <v>49</v>
      </c>
      <c r="H12" s="95" t="s">
        <v>103</v>
      </c>
      <c r="I12" s="96" t="s">
        <v>49</v>
      </c>
    </row>
    <row r="13" spans="1:9" s="80" customFormat="1" ht="12.75">
      <c r="A13" s="84">
        <v>0</v>
      </c>
      <c r="B13" s="458">
        <v>538</v>
      </c>
      <c r="C13" s="458">
        <v>538</v>
      </c>
      <c r="D13" s="458">
        <v>714</v>
      </c>
      <c r="E13" s="458">
        <v>714</v>
      </c>
      <c r="F13" s="458">
        <v>1366</v>
      </c>
      <c r="G13" s="458">
        <v>1366</v>
      </c>
      <c r="H13" s="458">
        <v>2804</v>
      </c>
      <c r="I13" s="458">
        <v>2804</v>
      </c>
    </row>
    <row r="14" spans="1:9" s="80" customFormat="1" ht="12.75">
      <c r="A14" s="84">
        <v>6</v>
      </c>
      <c r="B14" s="458">
        <v>538</v>
      </c>
      <c r="C14" s="458">
        <v>538</v>
      </c>
      <c r="D14" s="458">
        <v>714</v>
      </c>
      <c r="E14" s="458">
        <v>714</v>
      </c>
      <c r="F14" s="458">
        <v>1366</v>
      </c>
      <c r="G14" s="458">
        <v>1366</v>
      </c>
      <c r="H14" s="458">
        <v>2804</v>
      </c>
      <c r="I14" s="458">
        <v>2804</v>
      </c>
    </row>
    <row r="15" spans="1:9" s="80" customFormat="1" ht="12.75">
      <c r="A15" s="84">
        <v>11</v>
      </c>
      <c r="B15" s="458">
        <v>538</v>
      </c>
      <c r="C15" s="458">
        <v>538</v>
      </c>
      <c r="D15" s="458">
        <v>714</v>
      </c>
      <c r="E15" s="458">
        <v>714</v>
      </c>
      <c r="F15" s="458">
        <v>1366</v>
      </c>
      <c r="G15" s="458">
        <v>1366</v>
      </c>
      <c r="H15" s="458">
        <v>2804</v>
      </c>
      <c r="I15" s="458">
        <v>2804</v>
      </c>
    </row>
    <row r="17" spans="1:5" ht="12">
      <c r="A17" s="97" t="s">
        <v>105</v>
      </c>
      <c r="B17" s="520" t="s">
        <v>102</v>
      </c>
      <c r="C17" s="520"/>
      <c r="D17" s="521" t="s">
        <v>104</v>
      </c>
      <c r="E17" s="521"/>
    </row>
    <row r="18" spans="1:5" ht="12">
      <c r="A18" s="84"/>
      <c r="B18" s="95" t="s">
        <v>92</v>
      </c>
      <c r="C18" s="95" t="s">
        <v>106</v>
      </c>
      <c r="D18" s="95" t="s">
        <v>92</v>
      </c>
      <c r="E18" s="96" t="s">
        <v>106</v>
      </c>
    </row>
    <row r="19" spans="1:5" ht="12">
      <c r="A19" s="84" t="s">
        <v>107</v>
      </c>
      <c r="B19" s="98">
        <v>0.04</v>
      </c>
      <c r="C19" s="95"/>
      <c r="D19" s="95"/>
      <c r="E19" s="96"/>
    </row>
    <row r="20" spans="1:5" ht="12">
      <c r="A20" s="84" t="s">
        <v>108</v>
      </c>
      <c r="B20" s="98">
        <v>0.04</v>
      </c>
      <c r="C20" s="95"/>
      <c r="D20" s="95"/>
      <c r="E20" s="96">
        <v>60</v>
      </c>
    </row>
    <row r="21" spans="1:8" ht="12">
      <c r="A21" s="84" t="s">
        <v>109</v>
      </c>
      <c r="B21" s="99">
        <v>0.005</v>
      </c>
      <c r="C21" s="95">
        <v>50</v>
      </c>
      <c r="D21" s="95"/>
      <c r="E21" s="96"/>
      <c r="H21" s="81" t="s">
        <v>110</v>
      </c>
    </row>
    <row r="22" spans="1:9" ht="12">
      <c r="A22" s="84"/>
      <c r="B22" s="95"/>
      <c r="C22" s="95"/>
      <c r="D22" s="95"/>
      <c r="E22" s="96"/>
      <c r="H22" s="81">
        <v>0</v>
      </c>
      <c r="I22" s="81">
        <v>0</v>
      </c>
    </row>
    <row r="23" spans="1:9" ht="12">
      <c r="A23" s="84" t="s">
        <v>111</v>
      </c>
      <c r="B23" s="95"/>
      <c r="C23" s="95">
        <v>400</v>
      </c>
      <c r="D23" s="95"/>
      <c r="E23" s="96">
        <v>100</v>
      </c>
      <c r="H23" s="81">
        <v>500</v>
      </c>
      <c r="I23" s="81">
        <f>MIN(50,5%*'2 Wheeler'!$C$16)</f>
        <v>26.816000000000003</v>
      </c>
    </row>
    <row r="24" spans="1:9" ht="12">
      <c r="A24" s="84" t="s">
        <v>112</v>
      </c>
      <c r="B24" s="98">
        <v>0.3</v>
      </c>
      <c r="C24" s="95"/>
      <c r="D24" s="95"/>
      <c r="E24" s="96"/>
      <c r="H24" s="81">
        <v>750</v>
      </c>
      <c r="I24" s="81">
        <f>MIN(75,10%*'2 Wheeler'!$C$16)</f>
        <v>53.632000000000005</v>
      </c>
    </row>
    <row r="25" spans="1:9" ht="12">
      <c r="A25" s="84" t="s">
        <v>79</v>
      </c>
      <c r="B25" s="99">
        <v>0.05</v>
      </c>
      <c r="C25" s="95">
        <v>50</v>
      </c>
      <c r="D25" s="95"/>
      <c r="E25" s="96"/>
      <c r="H25" s="81">
        <v>1000</v>
      </c>
      <c r="I25" s="81">
        <f>MIN(125,15%*'2 Wheeler'!$C$16)</f>
        <v>80.44800000000001</v>
      </c>
    </row>
    <row r="26" spans="1:9" ht="12">
      <c r="A26" s="84" t="s">
        <v>113</v>
      </c>
      <c r="B26" s="95"/>
      <c r="C26" s="95"/>
      <c r="D26" s="95"/>
      <c r="E26" s="96">
        <v>100</v>
      </c>
      <c r="H26" s="81">
        <v>1500</v>
      </c>
      <c r="I26" s="81">
        <f>MIN(200,20%*'2 Wheeler'!$C$16)</f>
        <v>107.26400000000001</v>
      </c>
    </row>
    <row r="27" spans="1:9" ht="12">
      <c r="A27" s="84" t="s">
        <v>114</v>
      </c>
      <c r="B27" s="95"/>
      <c r="C27" s="95"/>
      <c r="D27" s="95"/>
      <c r="E27" s="96">
        <v>50</v>
      </c>
      <c r="H27" s="81">
        <v>3000</v>
      </c>
      <c r="I27" s="81">
        <f>MIN(250,25%*'2 Wheeler'!$C$16)</f>
        <v>134.08</v>
      </c>
    </row>
    <row r="28" spans="1:5" ht="12">
      <c r="A28" s="84" t="s">
        <v>115</v>
      </c>
      <c r="B28" s="95"/>
      <c r="C28" s="95"/>
      <c r="D28" s="95"/>
      <c r="E28" s="96">
        <v>50</v>
      </c>
    </row>
    <row r="29" spans="1:5" ht="12">
      <c r="A29" s="84"/>
      <c r="B29" s="95"/>
      <c r="C29" s="95"/>
      <c r="D29" s="95"/>
      <c r="E29" s="96"/>
    </row>
    <row r="30" spans="1:5" ht="12">
      <c r="A30" s="84"/>
      <c r="B30" s="95"/>
      <c r="C30" s="95"/>
      <c r="D30" s="95"/>
      <c r="E30" s="96"/>
    </row>
    <row r="31" spans="1:5" ht="12">
      <c r="A31" s="84"/>
      <c r="B31" s="95"/>
      <c r="C31" s="95"/>
      <c r="D31" s="95"/>
      <c r="E31" s="96"/>
    </row>
    <row r="32" spans="1:5" ht="12">
      <c r="A32" s="84" t="s">
        <v>116</v>
      </c>
      <c r="B32" s="95"/>
      <c r="C32" s="95"/>
      <c r="D32" s="95"/>
      <c r="E32" s="96"/>
    </row>
    <row r="33" spans="1:5" ht="12">
      <c r="A33" s="84" t="s">
        <v>117</v>
      </c>
      <c r="B33" s="95">
        <v>2.5</v>
      </c>
      <c r="C33" s="95">
        <v>500</v>
      </c>
      <c r="D33" s="95"/>
      <c r="E33" s="96"/>
    </row>
    <row r="34" spans="1:5" ht="12">
      <c r="A34" s="84" t="s">
        <v>118</v>
      </c>
      <c r="B34" s="95"/>
      <c r="C34" s="95"/>
      <c r="D34" s="95"/>
      <c r="E34" s="96">
        <v>100</v>
      </c>
    </row>
    <row r="35" spans="1:5" ht="12">
      <c r="A35" s="84" t="s">
        <v>78</v>
      </c>
      <c r="B35" s="98">
        <v>0.5</v>
      </c>
      <c r="C35" s="95"/>
      <c r="D35" s="95"/>
      <c r="E35" s="96"/>
    </row>
    <row r="36" spans="1:5" ht="12">
      <c r="A36" s="84" t="s">
        <v>119</v>
      </c>
      <c r="B36" s="99">
        <v>0.3333</v>
      </c>
      <c r="C36" s="95"/>
      <c r="D36" s="95"/>
      <c r="E36" s="96"/>
    </row>
    <row r="37" spans="1:5" ht="12">
      <c r="A37" s="84" t="s">
        <v>120</v>
      </c>
      <c r="B37" s="95" t="s">
        <v>106</v>
      </c>
      <c r="C37" s="95" t="s">
        <v>92</v>
      </c>
      <c r="D37" s="95" t="s">
        <v>121</v>
      </c>
      <c r="E37" s="96"/>
    </row>
    <row r="38" spans="1:5" ht="12">
      <c r="A38" s="84"/>
      <c r="B38" s="95">
        <v>2500</v>
      </c>
      <c r="C38" s="95">
        <v>20</v>
      </c>
      <c r="D38" s="95">
        <v>750</v>
      </c>
      <c r="E38" s="96"/>
    </row>
    <row r="39" spans="1:5" ht="12">
      <c r="A39" s="84"/>
      <c r="B39" s="95">
        <v>5000</v>
      </c>
      <c r="C39" s="95">
        <v>25</v>
      </c>
      <c r="D39" s="95">
        <v>1500</v>
      </c>
      <c r="E39" s="96"/>
    </row>
    <row r="40" spans="1:5" ht="12">
      <c r="A40" s="84"/>
      <c r="B40" s="95">
        <v>7500</v>
      </c>
      <c r="C40" s="95">
        <v>30</v>
      </c>
      <c r="D40" s="95">
        <v>2000</v>
      </c>
      <c r="E40" s="96"/>
    </row>
    <row r="41" spans="1:5" ht="12">
      <c r="A41" s="84"/>
      <c r="B41" s="95">
        <v>15000</v>
      </c>
      <c r="C41" s="95">
        <v>35</v>
      </c>
      <c r="D41" s="95">
        <v>2500</v>
      </c>
      <c r="E41" s="96"/>
    </row>
  </sheetData>
  <sheetProtection selectLockedCells="1" selectUnlockedCells="1"/>
  <mergeCells count="11">
    <mergeCell ref="B10:I10"/>
    <mergeCell ref="B11:C11"/>
    <mergeCell ref="D11:E11"/>
    <mergeCell ref="H11:I11"/>
    <mergeCell ref="B17:C17"/>
    <mergeCell ref="D17:E17"/>
    <mergeCell ref="B4:I4"/>
    <mergeCell ref="B5:C5"/>
    <mergeCell ref="D5:E5"/>
    <mergeCell ref="F5:G5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2" sqref="A2:H2"/>
    </sheetView>
  </sheetViews>
  <sheetFormatPr defaultColWidth="9.140625" defaultRowHeight="15.75" customHeight="1"/>
  <cols>
    <col min="1" max="1" width="29.421875" style="26" customWidth="1"/>
    <col min="2" max="2" width="5.57421875" style="26" customWidth="1"/>
    <col min="3" max="3" width="6.140625" style="27" customWidth="1"/>
    <col min="4" max="4" width="10.8515625" style="26" customWidth="1"/>
    <col min="5" max="5" width="3.28125" style="26" customWidth="1"/>
    <col min="6" max="6" width="23.7109375" style="26" customWidth="1"/>
    <col min="7" max="7" width="9.00390625" style="26" customWidth="1"/>
    <col min="8" max="8" width="11.140625" style="26" customWidth="1"/>
    <col min="9" max="9" width="9.8515625" style="26" customWidth="1"/>
    <col min="10" max="10" width="8.7109375" style="26" customWidth="1"/>
    <col min="11" max="11" width="8.00390625" style="26" customWidth="1"/>
    <col min="12" max="12" width="9.00390625" style="26" customWidth="1"/>
    <col min="13" max="13" width="8.57421875" style="26" customWidth="1"/>
    <col min="14" max="16384" width="9.140625" style="26" customWidth="1"/>
  </cols>
  <sheetData>
    <row r="1" spans="1:8" ht="15.75" customHeight="1">
      <c r="A1" s="533" t="s">
        <v>0</v>
      </c>
      <c r="B1" s="533"/>
      <c r="C1" s="533"/>
      <c r="D1" s="533"/>
      <c r="E1" s="533"/>
      <c r="F1" s="533"/>
      <c r="G1" s="533"/>
      <c r="H1" s="533"/>
    </row>
    <row r="2" spans="1:11" ht="15.75" customHeight="1">
      <c r="A2" s="534" t="s">
        <v>234</v>
      </c>
      <c r="B2" s="534"/>
      <c r="C2" s="534"/>
      <c r="D2" s="534"/>
      <c r="E2" s="534"/>
      <c r="F2" s="534"/>
      <c r="G2" s="534"/>
      <c r="H2" s="534"/>
      <c r="J2" s="535" t="s">
        <v>212</v>
      </c>
      <c r="K2" s="535"/>
    </row>
    <row r="3" spans="1:11" ht="15.75" customHeight="1">
      <c r="A3" s="30" t="s">
        <v>128</v>
      </c>
      <c r="B3" s="515"/>
      <c r="C3" s="515"/>
      <c r="D3" s="515"/>
      <c r="E3" s="515"/>
      <c r="F3" s="515"/>
      <c r="G3" s="515"/>
      <c r="H3" s="515"/>
      <c r="J3" s="535"/>
      <c r="K3" s="535"/>
    </row>
    <row r="4" spans="1:10" ht="15.75" customHeight="1">
      <c r="A4" s="30" t="s">
        <v>45</v>
      </c>
      <c r="B4" s="515"/>
      <c r="C4" s="515"/>
      <c r="D4" s="515"/>
      <c r="E4" s="515"/>
      <c r="F4" s="515"/>
      <c r="G4" s="515"/>
      <c r="H4" s="515"/>
      <c r="J4" s="120"/>
    </row>
    <row r="5" spans="1:8" ht="15.75" customHeight="1">
      <c r="A5" s="504" t="s">
        <v>46</v>
      </c>
      <c r="B5" s="504"/>
      <c r="C5" s="504"/>
      <c r="D5" s="504"/>
      <c r="E5" s="504"/>
      <c r="F5" s="504"/>
      <c r="G5" s="504"/>
      <c r="H5" s="504"/>
    </row>
    <row r="6" spans="1:10" ht="15.75" customHeight="1">
      <c r="A6" s="509" t="s">
        <v>47</v>
      </c>
      <c r="B6" s="509"/>
      <c r="C6" s="509"/>
      <c r="D6" s="34">
        <v>527000</v>
      </c>
      <c r="E6" s="510"/>
      <c r="F6" s="509" t="s">
        <v>53</v>
      </c>
      <c r="G6" s="509"/>
      <c r="H6" s="121">
        <v>2017</v>
      </c>
      <c r="J6" s="122"/>
    </row>
    <row r="7" spans="1:8" ht="15.75" customHeight="1">
      <c r="A7" s="509" t="s">
        <v>50</v>
      </c>
      <c r="B7" s="509"/>
      <c r="C7" s="509"/>
      <c r="D7" s="34">
        <v>0</v>
      </c>
      <c r="E7" s="510"/>
      <c r="F7" s="528" t="s">
        <v>48</v>
      </c>
      <c r="G7" s="528"/>
      <c r="H7" s="123" t="s">
        <v>49</v>
      </c>
    </row>
    <row r="8" spans="1:12" ht="15.75" customHeight="1">
      <c r="A8" s="509" t="s">
        <v>52</v>
      </c>
      <c r="B8" s="509"/>
      <c r="C8" s="509"/>
      <c r="D8" s="34">
        <v>0</v>
      </c>
      <c r="E8" s="510"/>
      <c r="F8" s="509" t="s">
        <v>129</v>
      </c>
      <c r="G8" s="509"/>
      <c r="H8" s="45">
        <v>1600</v>
      </c>
      <c r="L8" s="124"/>
    </row>
    <row r="9" spans="1:16" ht="15.75" customHeight="1">
      <c r="A9" s="509" t="s">
        <v>109</v>
      </c>
      <c r="B9" s="509"/>
      <c r="C9" s="509"/>
      <c r="D9" s="34">
        <v>0</v>
      </c>
      <c r="E9" s="510"/>
      <c r="F9" s="529" t="s">
        <v>130</v>
      </c>
      <c r="G9" s="529"/>
      <c r="H9" s="125" t="s">
        <v>131</v>
      </c>
      <c r="L9" s="124"/>
      <c r="N9" s="41"/>
      <c r="O9" s="41"/>
      <c r="P9" s="41"/>
    </row>
    <row r="10" spans="1:12" ht="15.75" customHeight="1">
      <c r="A10" s="503" t="s">
        <v>55</v>
      </c>
      <c r="B10" s="503"/>
      <c r="C10" s="503"/>
      <c r="D10" s="503"/>
      <c r="E10" s="503"/>
      <c r="F10" s="503"/>
      <c r="G10" s="503"/>
      <c r="H10" s="503"/>
      <c r="L10" s="124"/>
    </row>
    <row r="11" spans="1:12" ht="15.75" customHeight="1">
      <c r="A11" s="510" t="s">
        <v>56</v>
      </c>
      <c r="B11" s="510"/>
      <c r="C11" s="510"/>
      <c r="D11" s="510"/>
      <c r="E11" s="505"/>
      <c r="F11" s="510" t="s">
        <v>57</v>
      </c>
      <c r="G11" s="510"/>
      <c r="H11" s="510"/>
      <c r="L11" s="124"/>
    </row>
    <row r="12" spans="1:12" ht="15.75" customHeight="1">
      <c r="A12" s="126" t="s">
        <v>132</v>
      </c>
      <c r="B12" s="127"/>
      <c r="C12" s="36"/>
      <c r="D12" s="44">
        <f>+D6*CARCAL!B8/100</f>
        <v>18497.7</v>
      </c>
      <c r="E12" s="505"/>
      <c r="F12" s="43" t="s">
        <v>99</v>
      </c>
      <c r="G12" s="45"/>
      <c r="H12" s="44">
        <f>+CARCAL!B11</f>
        <v>7897</v>
      </c>
      <c r="L12" s="124"/>
    </row>
    <row r="13" spans="1:15" ht="15.75" customHeight="1">
      <c r="A13" s="509" t="s">
        <v>60</v>
      </c>
      <c r="B13" s="509"/>
      <c r="C13" s="36"/>
      <c r="D13" s="44">
        <f>4%*D7</f>
        <v>0</v>
      </c>
      <c r="E13" s="505"/>
      <c r="F13" s="43" t="s">
        <v>109</v>
      </c>
      <c r="G13" s="45"/>
      <c r="H13" s="44">
        <f>IF(C16="Yes",125,0)</f>
        <v>0</v>
      </c>
      <c r="L13" s="124"/>
      <c r="N13" s="28"/>
      <c r="O13" s="47"/>
    </row>
    <row r="14" spans="1:15" ht="15.75" customHeight="1">
      <c r="A14" s="509" t="s">
        <v>133</v>
      </c>
      <c r="B14" s="509"/>
      <c r="C14" s="36"/>
      <c r="D14" s="44">
        <f>IF(D8&gt;0,4%*D8,0)</f>
        <v>0</v>
      </c>
      <c r="E14" s="505"/>
      <c r="F14" s="43" t="s">
        <v>134</v>
      </c>
      <c r="G14" s="45"/>
      <c r="H14" s="44">
        <f>IF(D8&gt;0,60,0)</f>
        <v>0</v>
      </c>
      <c r="L14" s="124"/>
      <c r="O14" s="47"/>
    </row>
    <row r="15" spans="1:15" ht="15.75" customHeight="1">
      <c r="A15" s="527" t="s">
        <v>65</v>
      </c>
      <c r="B15" s="527"/>
      <c r="C15" s="129"/>
      <c r="D15" s="58">
        <f>ROUND((D12+D13+D14),0)</f>
        <v>18498</v>
      </c>
      <c r="E15" s="505"/>
      <c r="F15" s="48" t="s">
        <v>66</v>
      </c>
      <c r="G15" s="49"/>
      <c r="H15" s="58">
        <f>SUM(H12:H14)</f>
        <v>7897</v>
      </c>
      <c r="L15" s="124"/>
      <c r="O15" s="47"/>
    </row>
    <row r="16" spans="1:15" ht="15.75" customHeight="1">
      <c r="A16" s="509" t="s">
        <v>109</v>
      </c>
      <c r="B16" s="509"/>
      <c r="C16" s="36" t="s">
        <v>37</v>
      </c>
      <c r="D16" s="44">
        <f>IF(C16="Yes",50+(0.5%*D9),0)</f>
        <v>0</v>
      </c>
      <c r="E16" s="505"/>
      <c r="F16" s="43" t="s">
        <v>135</v>
      </c>
      <c r="G16" s="36" t="s">
        <v>62</v>
      </c>
      <c r="H16" s="44">
        <f>IF(G16="Yes",320,0)</f>
        <v>320</v>
      </c>
      <c r="L16" s="124"/>
      <c r="O16" s="47"/>
    </row>
    <row r="17" spans="1:15" ht="15.75" customHeight="1">
      <c r="A17" s="509" t="s">
        <v>70</v>
      </c>
      <c r="B17" s="509"/>
      <c r="C17" s="36" t="s">
        <v>37</v>
      </c>
      <c r="D17" s="44">
        <f>IF(C17="Yes",500,0)</f>
        <v>0</v>
      </c>
      <c r="E17" s="505"/>
      <c r="F17" s="43" t="s">
        <v>136</v>
      </c>
      <c r="G17" s="36" t="s">
        <v>62</v>
      </c>
      <c r="H17" s="44">
        <f>IF(G17="Yes",50*G18,0)</f>
        <v>50</v>
      </c>
      <c r="L17" s="124"/>
      <c r="O17" s="47"/>
    </row>
    <row r="18" spans="1:15" ht="15.75" customHeight="1">
      <c r="A18" s="509" t="s">
        <v>137</v>
      </c>
      <c r="B18" s="509"/>
      <c r="C18" s="51" t="s">
        <v>37</v>
      </c>
      <c r="D18" s="44">
        <f>D6*A48/10</f>
        <v>0</v>
      </c>
      <c r="E18" s="505"/>
      <c r="F18" s="130" t="str">
        <f>IF(G17="Yes","Driver/Employee","")</f>
        <v>Driver/Employee</v>
      </c>
      <c r="G18" s="36">
        <v>1</v>
      </c>
      <c r="H18" s="43"/>
      <c r="L18" s="124"/>
      <c r="O18" s="47"/>
    </row>
    <row r="19" spans="1:15" ht="15.75" customHeight="1">
      <c r="A19" s="509" t="s">
        <v>138</v>
      </c>
      <c r="B19" s="509"/>
      <c r="C19" s="50">
        <v>0.3</v>
      </c>
      <c r="D19" s="44">
        <f>(D15)*C19</f>
        <v>5549.4</v>
      </c>
      <c r="E19" s="505"/>
      <c r="F19" s="43" t="s">
        <v>139</v>
      </c>
      <c r="G19" s="36" t="s">
        <v>62</v>
      </c>
      <c r="H19" s="44">
        <f>IF(G19="Yes",0.5*G21*H21/1000,0)</f>
        <v>200</v>
      </c>
      <c r="L19" s="124"/>
      <c r="O19" s="47"/>
    </row>
    <row r="20" spans="1:15" ht="15.75" customHeight="1">
      <c r="A20" s="33" t="s">
        <v>224</v>
      </c>
      <c r="B20" s="396">
        <v>0.0014</v>
      </c>
      <c r="C20" s="36" t="s">
        <v>37</v>
      </c>
      <c r="D20" s="44">
        <f>IF(C20="Yes",(D6*B20),0)</f>
        <v>0</v>
      </c>
      <c r="E20" s="505"/>
      <c r="F20" s="43"/>
      <c r="G20" s="36"/>
      <c r="H20" s="44"/>
      <c r="L20" s="124"/>
      <c r="O20" s="47"/>
    </row>
    <row r="21" spans="1:15" ht="15.75" customHeight="1">
      <c r="A21" s="509" t="s">
        <v>140</v>
      </c>
      <c r="B21" s="509"/>
      <c r="C21" s="36" t="s">
        <v>37</v>
      </c>
      <c r="D21" s="44">
        <f>IF(C21="Yes",50,0)</f>
        <v>0</v>
      </c>
      <c r="E21" s="505"/>
      <c r="F21" s="130" t="str">
        <f>IF(G19="Yes","No of Seating Capacity","")</f>
        <v>No of Seating Capacity</v>
      </c>
      <c r="G21" s="36">
        <v>4</v>
      </c>
      <c r="H21" s="131">
        <v>100000</v>
      </c>
      <c r="L21" s="124"/>
      <c r="O21" s="47"/>
    </row>
    <row r="22" spans="1:15" ht="15.75" customHeight="1">
      <c r="A22" s="509" t="s">
        <v>141</v>
      </c>
      <c r="B22" s="509"/>
      <c r="C22" s="36" t="s">
        <v>37</v>
      </c>
      <c r="D22" s="44">
        <f>IF(C22="Yes",60%*(D15-D31),0)</f>
        <v>0</v>
      </c>
      <c r="E22" s="505"/>
      <c r="F22" s="43" t="s">
        <v>72</v>
      </c>
      <c r="G22" s="45"/>
      <c r="H22" s="44">
        <v>0</v>
      </c>
      <c r="L22" s="124"/>
      <c r="O22" s="47"/>
    </row>
    <row r="23" spans="1:15" ht="15.75" customHeight="1">
      <c r="A23" s="527" t="s">
        <v>142</v>
      </c>
      <c r="B23" s="527"/>
      <c r="C23" s="129"/>
      <c r="D23" s="58">
        <f>D15+D16+D17+D18+D19+D20+D21+D22</f>
        <v>24047.4</v>
      </c>
      <c r="E23" s="505"/>
      <c r="F23" s="48" t="s">
        <v>75</v>
      </c>
      <c r="G23" s="49"/>
      <c r="H23" s="58">
        <f>SUM(H15:H17)+H19+H22</f>
        <v>8467</v>
      </c>
      <c r="L23" s="124"/>
      <c r="O23" s="47"/>
    </row>
    <row r="24" spans="1:15" ht="15.75" customHeight="1">
      <c r="A24" s="509" t="s">
        <v>117</v>
      </c>
      <c r="B24" s="509"/>
      <c r="C24" s="36" t="s">
        <v>37</v>
      </c>
      <c r="D24" s="44">
        <f>IF(C24="Yes",MIN(500,2.5%*(D15-D31)),0)</f>
        <v>0</v>
      </c>
      <c r="E24" s="505"/>
      <c r="F24" s="43" t="s">
        <v>118</v>
      </c>
      <c r="G24" s="132">
        <v>750000</v>
      </c>
      <c r="H24" s="44">
        <f>IF(G24=750000,0,100)</f>
        <v>0</v>
      </c>
      <c r="L24" s="124"/>
      <c r="O24" s="47"/>
    </row>
    <row r="25" spans="1:15" ht="15.75" customHeight="1">
      <c r="A25" s="509" t="s">
        <v>143</v>
      </c>
      <c r="B25" s="509"/>
      <c r="C25" s="36" t="s">
        <v>37</v>
      </c>
      <c r="D25" s="44">
        <f>IF(C25="Yes",50%*(D15-D31),0)</f>
        <v>0</v>
      </c>
      <c r="E25" s="505"/>
      <c r="F25" s="43"/>
      <c r="G25" s="45"/>
      <c r="H25" s="44"/>
      <c r="L25" s="124"/>
      <c r="O25" s="47"/>
    </row>
    <row r="26" spans="1:15" ht="15.75" customHeight="1">
      <c r="A26" s="509" t="s">
        <v>79</v>
      </c>
      <c r="B26" s="509"/>
      <c r="C26" s="36" t="s">
        <v>37</v>
      </c>
      <c r="D26" s="44">
        <f>IF(C26="Yes",MIN(200,5%*(D15-D31)),0)</f>
        <v>0</v>
      </c>
      <c r="E26" s="505"/>
      <c r="F26" s="43"/>
      <c r="G26" s="45"/>
      <c r="H26" s="44"/>
      <c r="L26" s="124"/>
      <c r="O26" s="47"/>
    </row>
    <row r="27" spans="1:15" ht="15.75" customHeight="1">
      <c r="A27" s="509" t="s">
        <v>144</v>
      </c>
      <c r="B27" s="509"/>
      <c r="C27" s="36" t="s">
        <v>37</v>
      </c>
      <c r="D27" s="44">
        <f>IF(C27="Yes",33.33%*(D15-D31),0)</f>
        <v>0</v>
      </c>
      <c r="E27" s="505"/>
      <c r="F27" s="43"/>
      <c r="G27" s="45"/>
      <c r="H27" s="44"/>
      <c r="L27" s="124"/>
      <c r="O27" s="47"/>
    </row>
    <row r="28" spans="1:15" ht="15.75" customHeight="1">
      <c r="A28" s="509" t="s">
        <v>81</v>
      </c>
      <c r="B28" s="509"/>
      <c r="C28" s="134">
        <v>0</v>
      </c>
      <c r="D28" s="44">
        <f>VLOOKUP(C28,CART!I18:J22,2)</f>
        <v>0</v>
      </c>
      <c r="E28" s="505"/>
      <c r="F28" s="43"/>
      <c r="G28" s="45"/>
      <c r="H28" s="44"/>
      <c r="L28" s="124"/>
      <c r="O28" s="47"/>
    </row>
    <row r="29" spans="1:15" ht="15.75" customHeight="1">
      <c r="A29" s="527" t="s">
        <v>82</v>
      </c>
      <c r="B29" s="527"/>
      <c r="C29" s="129"/>
      <c r="D29" s="58">
        <f>D23-SUM(D24:D28)</f>
        <v>24047.4</v>
      </c>
      <c r="E29" s="505"/>
      <c r="F29" s="43"/>
      <c r="G29" s="45"/>
      <c r="H29" s="44"/>
      <c r="I29" s="62"/>
      <c r="L29" s="124"/>
      <c r="O29" s="47"/>
    </row>
    <row r="30" spans="1:15" ht="15.75" customHeight="1">
      <c r="A30" s="509" t="s">
        <v>145</v>
      </c>
      <c r="B30" s="509"/>
      <c r="C30" s="50">
        <v>0.45</v>
      </c>
      <c r="D30" s="44">
        <f>(D29-D31-D32-D33)*C30</f>
        <v>3953.9475000000016</v>
      </c>
      <c r="E30" s="505"/>
      <c r="F30" s="43"/>
      <c r="G30" s="45"/>
      <c r="H30" s="44"/>
      <c r="I30" s="62"/>
      <c r="L30" s="124"/>
      <c r="O30" s="47"/>
    </row>
    <row r="31" spans="1:18" s="41" customFormat="1" ht="15.75" customHeight="1">
      <c r="A31" s="509" t="s">
        <v>85</v>
      </c>
      <c r="B31" s="509"/>
      <c r="C31" s="50">
        <v>0.75</v>
      </c>
      <c r="D31" s="44">
        <f>D15*C31</f>
        <v>13873.5</v>
      </c>
      <c r="E31" s="505"/>
      <c r="F31" s="43"/>
      <c r="G31" s="45"/>
      <c r="H31" s="44"/>
      <c r="J31" s="26"/>
      <c r="K31" s="26"/>
      <c r="L31" s="124"/>
      <c r="M31" s="26"/>
      <c r="N31" s="26"/>
      <c r="O31" s="47"/>
      <c r="P31" s="26"/>
      <c r="Q31" s="26"/>
      <c r="R31" s="26"/>
    </row>
    <row r="32" spans="1:14" s="155" customFormat="1" ht="14.25" customHeight="1">
      <c r="A32" s="530" t="s">
        <v>226</v>
      </c>
      <c r="B32" s="531"/>
      <c r="C32" s="171">
        <v>0.2</v>
      </c>
      <c r="D32" s="164">
        <f>D19*C32</f>
        <v>1109.8799999999999</v>
      </c>
      <c r="E32" s="505"/>
      <c r="F32" s="177"/>
      <c r="G32" s="163"/>
      <c r="H32" s="164"/>
      <c r="J32" s="133"/>
      <c r="K32" s="26"/>
      <c r="L32" s="26"/>
      <c r="M32" s="26"/>
      <c r="N32" s="26"/>
    </row>
    <row r="33" spans="1:10" ht="15.75" customHeight="1">
      <c r="A33" s="509" t="s">
        <v>225</v>
      </c>
      <c r="B33" s="509"/>
      <c r="C33" s="50">
        <v>0.05</v>
      </c>
      <c r="D33" s="44">
        <f>D19*C33</f>
        <v>277.46999999999997</v>
      </c>
      <c r="E33" s="505"/>
      <c r="F33" s="43"/>
      <c r="G33" s="45"/>
      <c r="H33" s="44"/>
      <c r="J33" s="133"/>
    </row>
    <row r="34" spans="1:10" ht="15.75" customHeight="1">
      <c r="A34" s="504" t="s">
        <v>86</v>
      </c>
      <c r="B34" s="504"/>
      <c r="C34" s="504"/>
      <c r="D34" s="135">
        <f>(D29-D30-D31-D32-D33)</f>
        <v>4832.602499999999</v>
      </c>
      <c r="E34" s="505"/>
      <c r="F34" s="504" t="s">
        <v>87</v>
      </c>
      <c r="G34" s="504"/>
      <c r="H34" s="58">
        <f>H23-H24</f>
        <v>8467</v>
      </c>
      <c r="J34" s="133"/>
    </row>
    <row r="35" spans="1:12" ht="15.75" customHeight="1">
      <c r="A35" s="28"/>
      <c r="B35" s="28"/>
      <c r="C35" s="136"/>
      <c r="D35" s="137"/>
      <c r="E35" s="137"/>
      <c r="F35" s="137"/>
      <c r="G35" s="137"/>
      <c r="H35" s="138"/>
      <c r="J35" s="139"/>
      <c r="K35" s="41"/>
      <c r="L35" s="140"/>
    </row>
    <row r="36" spans="1:8" ht="15.75" customHeight="1">
      <c r="A36" s="506"/>
      <c r="B36" s="141"/>
      <c r="C36" s="73"/>
      <c r="D36" s="73"/>
      <c r="E36" s="73"/>
      <c r="F36" s="142" t="s">
        <v>88</v>
      </c>
      <c r="G36" s="143" t="s">
        <v>89</v>
      </c>
      <c r="H36" s="144" t="s">
        <v>38</v>
      </c>
    </row>
    <row r="37" spans="1:8" ht="15.75" customHeight="1">
      <c r="A37" s="506"/>
      <c r="B37" s="141"/>
      <c r="C37" s="524" t="s">
        <v>90</v>
      </c>
      <c r="D37" s="524"/>
      <c r="E37" s="524"/>
      <c r="F37" s="145">
        <f>D34</f>
        <v>4832.602499999999</v>
      </c>
      <c r="G37" s="146">
        <f>H34</f>
        <v>8467</v>
      </c>
      <c r="H37" s="147">
        <f>SUM(F37:G37)</f>
        <v>13299.602499999999</v>
      </c>
    </row>
    <row r="38" spans="1:8" ht="15.75" customHeight="1">
      <c r="A38" s="506"/>
      <c r="B38" s="141"/>
      <c r="C38" s="525" t="s">
        <v>146</v>
      </c>
      <c r="D38" s="525"/>
      <c r="E38" s="525"/>
      <c r="F38" s="148">
        <f>F37*0.18</f>
        <v>869.8684499999998</v>
      </c>
      <c r="G38" s="148">
        <f>G37*0.18</f>
        <v>1524.06</v>
      </c>
      <c r="H38" s="148">
        <f>SUM(F38:G38)</f>
        <v>2393.92845</v>
      </c>
    </row>
    <row r="39" spans="1:8" ht="15.75" customHeight="1">
      <c r="A39" s="506"/>
      <c r="B39" s="141"/>
      <c r="C39" s="526" t="s">
        <v>40</v>
      </c>
      <c r="D39" s="526"/>
      <c r="E39" s="526"/>
      <c r="F39" s="150">
        <f>SUM(F37:F38)</f>
        <v>5702.470949999999</v>
      </c>
      <c r="G39" s="150">
        <f>SUM(G37:G38)</f>
        <v>9991.06</v>
      </c>
      <c r="H39" s="151">
        <f>SUM(H37:H38)</f>
        <v>15693.530949999998</v>
      </c>
    </row>
    <row r="40" spans="6:10" ht="15.75" customHeight="1">
      <c r="F40" s="55"/>
      <c r="J40" s="133"/>
    </row>
    <row r="41" spans="1:2" ht="13.5">
      <c r="A41" s="532" t="s">
        <v>220</v>
      </c>
      <c r="B41" s="532"/>
    </row>
    <row r="42" spans="1:2" ht="13.5">
      <c r="A42" s="385" t="s">
        <v>215</v>
      </c>
      <c r="B42" s="385" t="s">
        <v>216</v>
      </c>
    </row>
    <row r="43" spans="1:2" ht="13.5">
      <c r="A43" s="385" t="s">
        <v>217</v>
      </c>
      <c r="B43" s="386">
        <v>0.1</v>
      </c>
    </row>
    <row r="44" spans="1:2" ht="13.5">
      <c r="A44" s="385" t="s">
        <v>218</v>
      </c>
      <c r="B44" s="386">
        <v>0.2</v>
      </c>
    </row>
    <row r="45" spans="1:2" ht="13.5">
      <c r="A45" s="385" t="s">
        <v>219</v>
      </c>
      <c r="B45" s="386">
        <v>0.3</v>
      </c>
    </row>
    <row r="46" ht="13.5">
      <c r="C46" s="26"/>
    </row>
    <row r="47" spans="1:3" ht="13.5" hidden="1">
      <c r="A47" s="387" t="s">
        <v>92</v>
      </c>
      <c r="B47" s="387"/>
      <c r="C47" s="383" t="s">
        <v>93</v>
      </c>
    </row>
    <row r="48" spans="1:3" ht="13.5" hidden="1">
      <c r="A48" s="388" t="b">
        <f>IF(C18="Yes",IF(C48=0,3%,IF(C48=1,4%,IF(C48=2,6%,0))))</f>
        <v>0</v>
      </c>
      <c r="B48" s="388"/>
      <c r="C48" s="384">
        <f ca="1">YEAR(TODAY())-(H6)</f>
        <v>5</v>
      </c>
    </row>
    <row r="49" ht="13.5"/>
    <row r="50" ht="13.5"/>
  </sheetData>
  <sheetProtection password="CEED" sheet="1"/>
  <mergeCells count="46">
    <mergeCell ref="A32:B32"/>
    <mergeCell ref="A41:B41"/>
    <mergeCell ref="A1:H1"/>
    <mergeCell ref="A2:H2"/>
    <mergeCell ref="J2:K3"/>
    <mergeCell ref="B3:H3"/>
    <mergeCell ref="B4:H4"/>
    <mergeCell ref="A5:H5"/>
    <mergeCell ref="A6:C6"/>
    <mergeCell ref="E6:E9"/>
    <mergeCell ref="F6:G6"/>
    <mergeCell ref="A7:C7"/>
    <mergeCell ref="F7:G7"/>
    <mergeCell ref="A8:C8"/>
    <mergeCell ref="F8:G8"/>
    <mergeCell ref="A9:C9"/>
    <mergeCell ref="F9:G9"/>
    <mergeCell ref="A10:H10"/>
    <mergeCell ref="A11:D11"/>
    <mergeCell ref="E11:E34"/>
    <mergeCell ref="F11:H11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  <mergeCell ref="A34:C34"/>
    <mergeCell ref="F34:G34"/>
    <mergeCell ref="A36:A39"/>
    <mergeCell ref="C37:E37"/>
    <mergeCell ref="C38:E38"/>
    <mergeCell ref="C39:E39"/>
  </mergeCells>
  <dataValidations count="11">
    <dataValidation allowBlank="1" showErrorMessage="1" sqref="C31">
      <formula1>0</formula1>
      <formula2>0</formula2>
    </dataValidation>
    <dataValidation type="list" allowBlank="1" showErrorMessage="1" sqref="G24">
      <formula1>"6000,750000"</formula1>
      <formula2>0</formula2>
    </dataValidation>
    <dataValidation type="list" allowBlank="1" showErrorMessage="1" sqref="C8 G14 C16:C18 G16:G17 G19:G20 C20:C22 C24:C27">
      <formula1>"Yes,No"</formula1>
      <formula2>0</formula2>
    </dataValidation>
    <dataValidation type="list" allowBlank="1" showErrorMessage="1" sqref="C28">
      <formula1>"0,2500,5000,7500,15000"</formula1>
      <formula2>0</formula2>
    </dataValidation>
    <dataValidation type="list" allowBlank="1" showErrorMessage="1" sqref="C30">
      <formula1>"65%,50%,45%,35%,25%,20%,0%"</formula1>
      <formula2>0</formula2>
    </dataValidation>
    <dataValidation type="list" allowBlank="1" showErrorMessage="1" sqref="C19">
      <formula1>"0,10%,20%,30%,"</formula1>
    </dataValidation>
    <dataValidation type="list" allowBlank="1" showErrorMessage="1" sqref="H7">
      <formula1>"A,B"</formula1>
      <formula2>0</formula2>
    </dataValidation>
    <dataValidation type="list" allowBlank="1" showErrorMessage="1" sqref="H21">
      <formula1>"0,50000,60000,70000,80000,90000,100000,120000,130000,140000,150000,160000,170000,180000,190000,200000,210000,220000,230000,240000,250000,260000,270000,280000,290000,300000"</formula1>
      <formula2>0</formula2>
    </dataValidation>
    <dataValidation type="list" allowBlank="1" showErrorMessage="1" sqref="H9">
      <formula1>"PETROL,DIESEL"</formula1>
      <formula2>0</formula2>
    </dataValidation>
    <dataValidation type="list" allowBlank="1" showErrorMessage="1" sqref="C33">
      <formula1>"0%,5%"</formula1>
    </dataValidation>
    <dataValidation type="list" allowBlank="1" showErrorMessage="1" sqref="C32">
      <formula1>"0,20%"</formula1>
    </dataValidation>
  </dataValidations>
  <hyperlinks>
    <hyperlink ref="J2" location="HyperLink!A1" display="BACK TO          HYPER LINK"/>
  </hyperlinks>
  <printOptions/>
  <pageMargins left="0.39375" right="0" top="0.7479166666666667" bottom="0.7479166666666667" header="0.5118055555555555" footer="0.511805555555555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1"/>
  <sheetViews>
    <sheetView zoomScale="115" zoomScaleNormal="115" zoomScalePageLayoutView="0" workbookViewId="0" topLeftCell="A1">
      <selection activeCell="G18" sqref="G18"/>
    </sheetView>
  </sheetViews>
  <sheetFormatPr defaultColWidth="9.140625" defaultRowHeight="12.75"/>
  <cols>
    <col min="1" max="1" width="14.28125" style="26" customWidth="1"/>
    <col min="2" max="7" width="10.28125" style="26" customWidth="1"/>
    <col min="8" max="8" width="9.140625" style="26" customWidth="1"/>
    <col min="9" max="9" width="9.28125" style="26" customWidth="1"/>
    <col min="10" max="10" width="9.00390625" style="26" customWidth="1"/>
    <col min="11" max="16384" width="9.140625" style="26" customWidth="1"/>
  </cols>
  <sheetData>
    <row r="1" spans="1:11" ht="14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4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5" ht="14.25">
      <c r="A3" s="538" t="s">
        <v>124</v>
      </c>
      <c r="B3" s="538"/>
      <c r="C3" s="538"/>
      <c r="D3" s="538"/>
      <c r="E3" s="538"/>
      <c r="F3" s="538"/>
      <c r="G3" s="538"/>
      <c r="H3" s="106"/>
      <c r="I3" s="107"/>
      <c r="J3" s="107" t="s">
        <v>124</v>
      </c>
      <c r="K3" s="107"/>
      <c r="L3" s="107"/>
      <c r="M3" s="107" t="s">
        <v>124</v>
      </c>
      <c r="O3" s="107"/>
    </row>
    <row r="4" spans="1:13" ht="14.25">
      <c r="A4" s="108" t="s">
        <v>101</v>
      </c>
      <c r="B4" s="541" t="s">
        <v>102</v>
      </c>
      <c r="C4" s="541"/>
      <c r="D4" s="541"/>
      <c r="E4" s="541"/>
      <c r="F4" s="541"/>
      <c r="G4" s="541"/>
      <c r="H4" s="106"/>
      <c r="I4" s="106"/>
      <c r="J4" s="106"/>
      <c r="K4" s="106"/>
      <c r="L4" s="106"/>
      <c r="M4" s="106"/>
    </row>
    <row r="5" spans="1:15" ht="14.25">
      <c r="A5" s="109"/>
      <c r="B5" s="538">
        <v>1000</v>
      </c>
      <c r="C5" s="538"/>
      <c r="D5" s="538">
        <v>1500</v>
      </c>
      <c r="E5" s="538"/>
      <c r="F5" s="537">
        <v>9999</v>
      </c>
      <c r="G5" s="537"/>
      <c r="H5" s="106"/>
      <c r="I5" s="542" t="s">
        <v>125</v>
      </c>
      <c r="J5" s="542"/>
      <c r="K5" s="542"/>
      <c r="L5" s="107"/>
      <c r="M5" s="536" t="s">
        <v>126</v>
      </c>
      <c r="N5" s="536"/>
      <c r="O5" s="536"/>
    </row>
    <row r="6" spans="1:15" ht="14.25">
      <c r="A6" s="109"/>
      <c r="B6" s="110" t="s">
        <v>103</v>
      </c>
      <c r="C6" s="110" t="s">
        <v>49</v>
      </c>
      <c r="D6" s="110" t="s">
        <v>103</v>
      </c>
      <c r="E6" s="110" t="s">
        <v>49</v>
      </c>
      <c r="F6" s="110" t="s">
        <v>103</v>
      </c>
      <c r="G6" s="111" t="s">
        <v>49</v>
      </c>
      <c r="H6" s="106"/>
      <c r="I6" s="112">
        <v>1</v>
      </c>
      <c r="J6" s="112"/>
      <c r="K6" s="113">
        <v>0.0016</v>
      </c>
      <c r="L6" s="107"/>
      <c r="M6" s="112">
        <v>1</v>
      </c>
      <c r="N6" s="112"/>
      <c r="O6" s="113">
        <v>0.0019</v>
      </c>
    </row>
    <row r="7" spans="1:15" ht="14.25">
      <c r="A7" s="357">
        <v>0</v>
      </c>
      <c r="B7" s="114">
        <v>3.127</v>
      </c>
      <c r="C7" s="114">
        <v>3.039</v>
      </c>
      <c r="D7" s="114">
        <v>3.283</v>
      </c>
      <c r="E7" s="114">
        <v>3.191</v>
      </c>
      <c r="F7" s="114">
        <v>3.44</v>
      </c>
      <c r="G7" s="115">
        <v>3.343</v>
      </c>
      <c r="H7" s="106"/>
      <c r="I7" s="112">
        <v>2</v>
      </c>
      <c r="J7" s="112"/>
      <c r="K7" s="113">
        <v>0.0018</v>
      </c>
      <c r="L7" s="107"/>
      <c r="M7" s="112">
        <v>2</v>
      </c>
      <c r="N7" s="112"/>
      <c r="O7" s="113">
        <v>0.0022</v>
      </c>
    </row>
    <row r="8" spans="1:15" ht="14.25">
      <c r="A8" s="357">
        <v>6</v>
      </c>
      <c r="B8" s="114">
        <v>3.283</v>
      </c>
      <c r="C8" s="114">
        <v>3.191</v>
      </c>
      <c r="D8" s="114">
        <v>3.447</v>
      </c>
      <c r="E8" s="114">
        <v>3.351</v>
      </c>
      <c r="F8" s="114">
        <v>3.612</v>
      </c>
      <c r="G8" s="115">
        <v>3.51</v>
      </c>
      <c r="H8" s="106"/>
      <c r="I8" s="112">
        <v>3</v>
      </c>
      <c r="J8" s="112"/>
      <c r="K8" s="113">
        <v>0.0021</v>
      </c>
      <c r="L8" s="107"/>
      <c r="M8" s="112">
        <v>3</v>
      </c>
      <c r="N8" s="112"/>
      <c r="O8" s="113">
        <v>0.0025</v>
      </c>
    </row>
    <row r="9" spans="1:15" ht="14.25">
      <c r="A9" s="357">
        <v>11</v>
      </c>
      <c r="B9" s="114">
        <v>3.362</v>
      </c>
      <c r="C9" s="114">
        <v>3.267</v>
      </c>
      <c r="D9" s="114">
        <v>3.529</v>
      </c>
      <c r="E9" s="114">
        <v>3.43</v>
      </c>
      <c r="F9" s="114">
        <v>3.698</v>
      </c>
      <c r="G9" s="115">
        <v>3.594</v>
      </c>
      <c r="H9" s="106"/>
      <c r="I9" s="112">
        <v>4</v>
      </c>
      <c r="J9" s="112"/>
      <c r="K9" s="113">
        <v>0.0025</v>
      </c>
      <c r="L9" s="107"/>
      <c r="M9" s="112">
        <v>4</v>
      </c>
      <c r="N9" s="112"/>
      <c r="O9" s="113">
        <v>0.003</v>
      </c>
    </row>
    <row r="10" spans="1:15" ht="14.25">
      <c r="A10" s="357"/>
      <c r="B10" s="537" t="s">
        <v>104</v>
      </c>
      <c r="C10" s="537"/>
      <c r="D10" s="537"/>
      <c r="E10" s="537"/>
      <c r="F10" s="537"/>
      <c r="G10" s="537"/>
      <c r="H10" s="106"/>
      <c r="I10" s="112">
        <v>5</v>
      </c>
      <c r="J10" s="112"/>
      <c r="K10" s="113">
        <v>0.003</v>
      </c>
      <c r="L10" s="107"/>
      <c r="M10" s="112">
        <v>5</v>
      </c>
      <c r="N10" s="112"/>
      <c r="O10" s="113">
        <v>0.0037</v>
      </c>
    </row>
    <row r="11" spans="1:15" ht="14.25">
      <c r="A11" s="357"/>
      <c r="B11" s="538">
        <v>1000</v>
      </c>
      <c r="C11" s="538"/>
      <c r="D11" s="538">
        <v>1500</v>
      </c>
      <c r="E11" s="538"/>
      <c r="F11" s="537">
        <v>9999</v>
      </c>
      <c r="G11" s="537"/>
      <c r="H11" s="106"/>
      <c r="I11" s="112">
        <v>6</v>
      </c>
      <c r="J11" s="112"/>
      <c r="K11" s="113">
        <v>0.0018</v>
      </c>
      <c r="L11" s="107"/>
      <c r="M11" s="112">
        <v>6</v>
      </c>
      <c r="N11" s="112"/>
      <c r="O11" s="113">
        <v>0.0022</v>
      </c>
    </row>
    <row r="12" spans="1:13" ht="14.25">
      <c r="A12" s="357"/>
      <c r="B12" s="110" t="s">
        <v>103</v>
      </c>
      <c r="C12" s="110" t="s">
        <v>49</v>
      </c>
      <c r="D12" s="110" t="s">
        <v>103</v>
      </c>
      <c r="E12" s="110" t="s">
        <v>49</v>
      </c>
      <c r="F12" s="110" t="s">
        <v>103</v>
      </c>
      <c r="G12" s="111" t="s">
        <v>49</v>
      </c>
      <c r="H12" s="106"/>
      <c r="I12" s="106"/>
      <c r="J12" s="106"/>
      <c r="K12" s="106"/>
      <c r="L12" s="107"/>
      <c r="M12" s="107"/>
    </row>
    <row r="13" spans="1:11" ht="15">
      <c r="A13" s="357">
        <v>0</v>
      </c>
      <c r="B13" s="459">
        <v>2094</v>
      </c>
      <c r="C13" s="459">
        <v>2094</v>
      </c>
      <c r="D13" s="459">
        <v>3416</v>
      </c>
      <c r="E13" s="459">
        <v>3416</v>
      </c>
      <c r="F13" s="459">
        <v>7897</v>
      </c>
      <c r="G13" s="459">
        <v>7897</v>
      </c>
      <c r="H13" s="106"/>
      <c r="I13" s="106"/>
      <c r="J13" s="106"/>
      <c r="K13" s="106"/>
    </row>
    <row r="14" spans="1:11" ht="15">
      <c r="A14" s="357">
        <v>6</v>
      </c>
      <c r="B14" s="459">
        <v>2094</v>
      </c>
      <c r="C14" s="459">
        <v>2094</v>
      </c>
      <c r="D14" s="459">
        <v>3416</v>
      </c>
      <c r="E14" s="459">
        <v>3416</v>
      </c>
      <c r="F14" s="459">
        <v>7897</v>
      </c>
      <c r="G14" s="459">
        <v>7897</v>
      </c>
      <c r="H14" s="106"/>
      <c r="I14" s="106"/>
      <c r="J14" s="106"/>
      <c r="K14" s="106"/>
    </row>
    <row r="15" spans="1:11" ht="15">
      <c r="A15" s="358">
        <v>11</v>
      </c>
      <c r="B15" s="459">
        <v>2094</v>
      </c>
      <c r="C15" s="459">
        <v>2094</v>
      </c>
      <c r="D15" s="459">
        <v>3416</v>
      </c>
      <c r="E15" s="459">
        <v>3416</v>
      </c>
      <c r="F15" s="459">
        <v>7897</v>
      </c>
      <c r="G15" s="459">
        <v>7897</v>
      </c>
      <c r="H15" s="106"/>
      <c r="I15" s="106"/>
      <c r="J15" s="106"/>
      <c r="K15" s="106"/>
    </row>
    <row r="16" spans="1:11" ht="14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4.25">
      <c r="A17" s="117" t="s">
        <v>105</v>
      </c>
      <c r="B17" s="539" t="s">
        <v>102</v>
      </c>
      <c r="C17" s="539"/>
      <c r="D17" s="540" t="s">
        <v>104</v>
      </c>
      <c r="E17" s="540"/>
      <c r="F17" s="106"/>
      <c r="G17" s="106"/>
      <c r="H17" s="106"/>
      <c r="I17" s="106" t="s">
        <v>110</v>
      </c>
      <c r="J17" s="106"/>
      <c r="K17" s="106"/>
    </row>
    <row r="18" spans="1:11" ht="14.25">
      <c r="A18" s="109"/>
      <c r="B18" s="110" t="s">
        <v>92</v>
      </c>
      <c r="C18" s="110" t="s">
        <v>106</v>
      </c>
      <c r="D18" s="110" t="s">
        <v>92</v>
      </c>
      <c r="E18" s="111" t="s">
        <v>106</v>
      </c>
      <c r="F18" s="106"/>
      <c r="G18" s="106"/>
      <c r="H18" s="106"/>
      <c r="I18" s="106">
        <v>0</v>
      </c>
      <c r="J18" s="106">
        <v>0</v>
      </c>
      <c r="K18" s="106"/>
    </row>
    <row r="19" spans="1:11" ht="14.25">
      <c r="A19" s="109" t="s">
        <v>107</v>
      </c>
      <c r="B19" s="118">
        <v>0.04</v>
      </c>
      <c r="C19" s="110"/>
      <c r="D19" s="110"/>
      <c r="E19" s="111"/>
      <c r="F19" s="106"/>
      <c r="G19" s="106"/>
      <c r="H19" s="106"/>
      <c r="I19" s="106">
        <v>2500</v>
      </c>
      <c r="J19" s="106">
        <f>MIN(750,20%*'Pvt.Car'!$D$15)</f>
        <v>750</v>
      </c>
      <c r="K19" s="106"/>
    </row>
    <row r="20" spans="1:11" ht="14.25">
      <c r="A20" s="109" t="s">
        <v>108</v>
      </c>
      <c r="B20" s="118">
        <v>0.04</v>
      </c>
      <c r="C20" s="110"/>
      <c r="D20" s="110"/>
      <c r="E20" s="111">
        <v>60</v>
      </c>
      <c r="F20" s="106"/>
      <c r="G20" s="106"/>
      <c r="H20" s="106"/>
      <c r="I20" s="106">
        <v>5000</v>
      </c>
      <c r="J20" s="106">
        <f>MIN(1500,25%*'Pvt.Car'!$D$15)</f>
        <v>1500</v>
      </c>
      <c r="K20" s="106"/>
    </row>
    <row r="21" spans="1:11" ht="14.25">
      <c r="A21" s="109" t="s">
        <v>109</v>
      </c>
      <c r="B21" s="119">
        <v>0.005</v>
      </c>
      <c r="C21" s="110">
        <v>50</v>
      </c>
      <c r="D21" s="110"/>
      <c r="E21" s="111"/>
      <c r="F21" s="106"/>
      <c r="G21" s="106"/>
      <c r="H21" s="106"/>
      <c r="I21" s="106">
        <v>7500</v>
      </c>
      <c r="J21" s="106">
        <f>MIN(2000,30%*'Pvt.Car'!$D$15)</f>
        <v>2000</v>
      </c>
      <c r="K21" s="106"/>
    </row>
    <row r="22" spans="1:11" ht="14.25">
      <c r="A22" s="109"/>
      <c r="B22" s="110"/>
      <c r="C22" s="110"/>
      <c r="D22" s="110"/>
      <c r="E22" s="111"/>
      <c r="F22" s="106"/>
      <c r="G22" s="106"/>
      <c r="H22" s="106"/>
      <c r="I22" s="106">
        <v>15000</v>
      </c>
      <c r="J22" s="106">
        <f>MIN(2500,35%*'Pvt.Car'!$D$15)</f>
        <v>2500</v>
      </c>
      <c r="K22" s="106"/>
    </row>
    <row r="23" spans="1:11" ht="14.25">
      <c r="A23" s="109" t="s">
        <v>111</v>
      </c>
      <c r="B23" s="110"/>
      <c r="C23" s="110">
        <v>400</v>
      </c>
      <c r="D23" s="110"/>
      <c r="E23" s="111">
        <v>100</v>
      </c>
      <c r="F23" s="106"/>
      <c r="G23" s="106"/>
      <c r="H23" s="106"/>
      <c r="I23" s="106"/>
      <c r="J23" s="106"/>
      <c r="K23" s="106"/>
    </row>
    <row r="24" spans="1:11" ht="14.25">
      <c r="A24" s="109" t="s">
        <v>112</v>
      </c>
      <c r="B24" s="118">
        <v>0.3</v>
      </c>
      <c r="C24" s="110"/>
      <c r="D24" s="110"/>
      <c r="E24" s="111"/>
      <c r="F24" s="106"/>
      <c r="G24" s="106"/>
      <c r="H24" s="106"/>
      <c r="I24" s="106"/>
      <c r="J24" s="106"/>
      <c r="K24" s="106"/>
    </row>
    <row r="25" spans="1:11" ht="14.25">
      <c r="A25" s="109" t="s">
        <v>79</v>
      </c>
      <c r="B25" s="119">
        <v>0.05</v>
      </c>
      <c r="C25" s="110">
        <v>50</v>
      </c>
      <c r="D25" s="110"/>
      <c r="E25" s="111"/>
      <c r="F25" s="106"/>
      <c r="G25" s="106"/>
      <c r="H25" s="106"/>
      <c r="I25" s="106"/>
      <c r="J25" s="106"/>
      <c r="K25" s="106"/>
    </row>
    <row r="26" spans="1:11" ht="14.25">
      <c r="A26" s="109" t="s">
        <v>113</v>
      </c>
      <c r="B26" s="110"/>
      <c r="C26" s="110"/>
      <c r="D26" s="110"/>
      <c r="E26" s="111">
        <v>100</v>
      </c>
      <c r="F26" s="106"/>
      <c r="G26" s="106"/>
      <c r="H26" s="106"/>
      <c r="I26" s="106"/>
      <c r="J26" s="106"/>
      <c r="K26" s="106"/>
    </row>
    <row r="27" spans="1:11" ht="14.25">
      <c r="A27" s="109" t="s">
        <v>114</v>
      </c>
      <c r="B27" s="110"/>
      <c r="C27" s="110"/>
      <c r="D27" s="110"/>
      <c r="E27" s="111">
        <v>50</v>
      </c>
      <c r="F27" s="106"/>
      <c r="G27" s="106"/>
      <c r="H27" s="106"/>
      <c r="I27" s="106"/>
      <c r="J27" s="106"/>
      <c r="K27" s="106"/>
    </row>
    <row r="28" spans="1:11" ht="14.25">
      <c r="A28" s="109" t="s">
        <v>115</v>
      </c>
      <c r="B28" s="110"/>
      <c r="C28" s="110"/>
      <c r="D28" s="110"/>
      <c r="E28" s="111">
        <v>50</v>
      </c>
      <c r="F28" s="106"/>
      <c r="G28" s="106"/>
      <c r="H28" s="106"/>
      <c r="I28" s="106"/>
      <c r="J28" s="106"/>
      <c r="K28" s="106"/>
    </row>
    <row r="29" spans="1:11" ht="14.25">
      <c r="A29" s="109"/>
      <c r="B29" s="110"/>
      <c r="C29" s="110"/>
      <c r="D29" s="110"/>
      <c r="E29" s="111"/>
      <c r="F29" s="106"/>
      <c r="G29" s="106"/>
      <c r="H29" s="106"/>
      <c r="I29" s="106"/>
      <c r="J29" s="106"/>
      <c r="K29" s="106"/>
    </row>
    <row r="30" spans="1:11" ht="14.25">
      <c r="A30" s="109"/>
      <c r="B30" s="110"/>
      <c r="C30" s="110"/>
      <c r="D30" s="110"/>
      <c r="E30" s="111"/>
      <c r="F30" s="106"/>
      <c r="G30" s="106"/>
      <c r="H30" s="106"/>
      <c r="I30" s="106"/>
      <c r="J30" s="106"/>
      <c r="K30" s="106"/>
    </row>
    <row r="31" spans="1:11" ht="14.25">
      <c r="A31" s="109"/>
      <c r="B31" s="110"/>
      <c r="C31" s="110"/>
      <c r="D31" s="110"/>
      <c r="E31" s="111"/>
      <c r="F31" s="106"/>
      <c r="G31" s="106"/>
      <c r="H31" s="106"/>
      <c r="I31" s="106"/>
      <c r="J31" s="106"/>
      <c r="K31" s="106"/>
    </row>
    <row r="32" spans="1:11" ht="14.25">
      <c r="A32" s="109" t="s">
        <v>116</v>
      </c>
      <c r="B32" s="110"/>
      <c r="C32" s="110"/>
      <c r="D32" s="110"/>
      <c r="E32" s="111"/>
      <c r="F32" s="106"/>
      <c r="G32" s="106"/>
      <c r="H32" s="106"/>
      <c r="I32" s="106"/>
      <c r="J32" s="106"/>
      <c r="K32" s="106"/>
    </row>
    <row r="33" spans="1:11" ht="14.25">
      <c r="A33" s="109" t="s">
        <v>117</v>
      </c>
      <c r="B33" s="110">
        <v>2.5</v>
      </c>
      <c r="C33" s="110">
        <v>500</v>
      </c>
      <c r="D33" s="110"/>
      <c r="E33" s="111"/>
      <c r="F33" s="106"/>
      <c r="G33" s="106"/>
      <c r="H33" s="106"/>
      <c r="I33" s="106"/>
      <c r="J33" s="106"/>
      <c r="K33" s="106"/>
    </row>
    <row r="34" spans="1:11" ht="14.25">
      <c r="A34" s="109" t="s">
        <v>118</v>
      </c>
      <c r="B34" s="110"/>
      <c r="C34" s="110"/>
      <c r="D34" s="110"/>
      <c r="E34" s="111">
        <v>100</v>
      </c>
      <c r="F34" s="106"/>
      <c r="G34" s="106"/>
      <c r="H34" s="106"/>
      <c r="I34" s="106"/>
      <c r="J34" s="106"/>
      <c r="K34" s="106"/>
    </row>
    <row r="35" spans="1:11" ht="14.25">
      <c r="A35" s="109" t="s">
        <v>78</v>
      </c>
      <c r="B35" s="118">
        <v>0.5</v>
      </c>
      <c r="C35" s="110"/>
      <c r="D35" s="110"/>
      <c r="E35" s="111"/>
      <c r="F35" s="106"/>
      <c r="G35" s="106"/>
      <c r="H35" s="106"/>
      <c r="I35" s="106"/>
      <c r="J35" s="106"/>
      <c r="K35" s="106"/>
    </row>
    <row r="36" spans="1:11" ht="14.25">
      <c r="A36" s="109" t="s">
        <v>119</v>
      </c>
      <c r="B36" s="119">
        <v>0.3333</v>
      </c>
      <c r="C36" s="110"/>
      <c r="D36" s="110"/>
      <c r="E36" s="111"/>
      <c r="F36" s="106"/>
      <c r="G36" s="106"/>
      <c r="H36" s="106"/>
      <c r="I36" s="106"/>
      <c r="J36" s="106"/>
      <c r="K36" s="106"/>
    </row>
    <row r="37" spans="1:11" ht="14.25">
      <c r="A37" s="109" t="s">
        <v>120</v>
      </c>
      <c r="B37" s="110" t="s">
        <v>106</v>
      </c>
      <c r="C37" s="110" t="s">
        <v>92</v>
      </c>
      <c r="D37" s="110" t="s">
        <v>121</v>
      </c>
      <c r="E37" s="111"/>
      <c r="F37" s="106"/>
      <c r="G37" s="106"/>
      <c r="H37" s="106"/>
      <c r="I37" s="106"/>
      <c r="J37" s="106"/>
      <c r="K37" s="106"/>
    </row>
    <row r="38" spans="1:11" ht="14.25">
      <c r="A38" s="109"/>
      <c r="B38" s="110">
        <v>2500</v>
      </c>
      <c r="C38" s="110">
        <v>20</v>
      </c>
      <c r="D38" s="110">
        <v>750</v>
      </c>
      <c r="E38" s="111"/>
      <c r="F38" s="106"/>
      <c r="G38" s="106"/>
      <c r="H38" s="106"/>
      <c r="I38" s="106"/>
      <c r="J38" s="106"/>
      <c r="K38" s="106"/>
    </row>
    <row r="39" spans="1:11" ht="14.25">
      <c r="A39" s="109"/>
      <c r="B39" s="110">
        <v>5000</v>
      </c>
      <c r="C39" s="110">
        <v>25</v>
      </c>
      <c r="D39" s="110">
        <v>1500</v>
      </c>
      <c r="E39" s="111"/>
      <c r="F39" s="106"/>
      <c r="G39" s="106"/>
      <c r="H39" s="106"/>
      <c r="I39" s="106"/>
      <c r="J39" s="106"/>
      <c r="K39" s="106"/>
    </row>
    <row r="40" spans="1:11" ht="14.25">
      <c r="A40" s="109"/>
      <c r="B40" s="110">
        <v>7500</v>
      </c>
      <c r="C40" s="110">
        <v>30</v>
      </c>
      <c r="D40" s="110">
        <v>2000</v>
      </c>
      <c r="E40" s="111"/>
      <c r="F40" s="106"/>
      <c r="G40" s="106"/>
      <c r="H40" s="106"/>
      <c r="I40" s="106"/>
      <c r="J40" s="106"/>
      <c r="K40" s="106"/>
    </row>
    <row r="41" spans="1:11" ht="14.25">
      <c r="A41" s="109"/>
      <c r="B41" s="110">
        <v>15000</v>
      </c>
      <c r="C41" s="110">
        <v>35</v>
      </c>
      <c r="D41" s="110">
        <v>2500</v>
      </c>
      <c r="E41" s="111"/>
      <c r="F41" s="106"/>
      <c r="G41" s="106"/>
      <c r="H41" s="106"/>
      <c r="I41" s="106"/>
      <c r="J41" s="106"/>
      <c r="K41" s="106"/>
    </row>
    <row r="42" spans="1:11" ht="14.2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1:11" ht="14.2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4.2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4.2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4.2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4.2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4.2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6:11" ht="14.25">
      <c r="F49" s="106"/>
      <c r="G49" s="106"/>
      <c r="H49" s="106"/>
      <c r="I49" s="106"/>
      <c r="J49" s="106"/>
      <c r="K49" s="106"/>
    </row>
    <row r="50" spans="6:11" ht="14.25">
      <c r="F50" s="106"/>
      <c r="G50" s="106"/>
      <c r="H50" s="106"/>
      <c r="I50" s="106"/>
      <c r="J50" s="106"/>
      <c r="K50" s="106"/>
    </row>
    <row r="51" spans="6:8" ht="14.25">
      <c r="F51" s="106"/>
      <c r="G51" s="106"/>
      <c r="H51" s="106"/>
    </row>
  </sheetData>
  <sheetProtection selectLockedCells="1" selectUnlockedCells="1"/>
  <mergeCells count="13">
    <mergeCell ref="A3:G3"/>
    <mergeCell ref="B4:G4"/>
    <mergeCell ref="B5:C5"/>
    <mergeCell ref="D5:E5"/>
    <mergeCell ref="F5:G5"/>
    <mergeCell ref="I5:K5"/>
    <mergeCell ref="M5:O5"/>
    <mergeCell ref="B10:G10"/>
    <mergeCell ref="B11:C11"/>
    <mergeCell ref="D11:E11"/>
    <mergeCell ref="F11:G11"/>
    <mergeCell ref="B17:C17"/>
    <mergeCell ref="D17:E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1"/>
  <sheetViews>
    <sheetView zoomScale="115" zoomScaleNormal="115" zoomScalePageLayoutView="0" workbookViewId="0" topLeftCell="A1">
      <selection activeCell="B13" sqref="B13"/>
    </sheetView>
  </sheetViews>
  <sheetFormatPr defaultColWidth="9.140625" defaultRowHeight="12.75"/>
  <cols>
    <col min="1" max="1" width="14.28125" style="26" customWidth="1"/>
    <col min="2" max="7" width="10.28125" style="26" customWidth="1"/>
    <col min="8" max="8" width="9.140625" style="26" customWidth="1"/>
    <col min="9" max="9" width="9.28125" style="26" customWidth="1"/>
    <col min="10" max="10" width="9.00390625" style="26" customWidth="1"/>
    <col min="11" max="16384" width="9.140625" style="26" customWidth="1"/>
  </cols>
  <sheetData>
    <row r="1" spans="1:11" ht="14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4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5" ht="18">
      <c r="A3" s="545" t="s">
        <v>229</v>
      </c>
      <c r="B3" s="545"/>
      <c r="C3" s="545"/>
      <c r="D3" s="545"/>
      <c r="E3" s="545"/>
      <c r="F3" s="545"/>
      <c r="G3" s="545"/>
      <c r="H3" s="106"/>
      <c r="I3" s="107"/>
      <c r="J3" s="107" t="s">
        <v>124</v>
      </c>
      <c r="K3" s="107"/>
      <c r="L3" s="107"/>
      <c r="M3" s="107" t="s">
        <v>124</v>
      </c>
      <c r="O3" s="107"/>
    </row>
    <row r="4" spans="1:13" ht="14.25">
      <c r="A4" s="460" t="s">
        <v>101</v>
      </c>
      <c r="B4" s="546" t="s">
        <v>102</v>
      </c>
      <c r="C4" s="546"/>
      <c r="D4" s="546"/>
      <c r="E4" s="546"/>
      <c r="F4" s="546"/>
      <c r="G4" s="546"/>
      <c r="H4" s="106"/>
      <c r="I4" s="106"/>
      <c r="J4" s="106"/>
      <c r="K4" s="106"/>
      <c r="L4" s="106"/>
      <c r="M4" s="106"/>
    </row>
    <row r="5" spans="1:15" ht="14.25">
      <c r="A5" s="461"/>
      <c r="B5" s="543">
        <v>1000</v>
      </c>
      <c r="C5" s="543"/>
      <c r="D5" s="543">
        <v>1500</v>
      </c>
      <c r="E5" s="543"/>
      <c r="F5" s="544">
        <v>9999</v>
      </c>
      <c r="G5" s="544"/>
      <c r="H5" s="106"/>
      <c r="I5" s="542" t="s">
        <v>125</v>
      </c>
      <c r="J5" s="542"/>
      <c r="K5" s="542"/>
      <c r="L5" s="107"/>
      <c r="M5" s="536" t="s">
        <v>126</v>
      </c>
      <c r="N5" s="536"/>
      <c r="O5" s="536"/>
    </row>
    <row r="6" spans="1:15" ht="14.25">
      <c r="A6" s="109"/>
      <c r="B6" s="110" t="s">
        <v>103</v>
      </c>
      <c r="C6" s="110" t="s">
        <v>49</v>
      </c>
      <c r="D6" s="110" t="s">
        <v>103</v>
      </c>
      <c r="E6" s="110" t="s">
        <v>49</v>
      </c>
      <c r="F6" s="110" t="s">
        <v>103</v>
      </c>
      <c r="G6" s="111" t="s">
        <v>49</v>
      </c>
      <c r="H6" s="106"/>
      <c r="I6" s="112">
        <v>1</v>
      </c>
      <c r="J6" s="112"/>
      <c r="K6" s="113">
        <v>0.0016</v>
      </c>
      <c r="L6" s="107"/>
      <c r="M6" s="112">
        <v>1</v>
      </c>
      <c r="N6" s="112"/>
      <c r="O6" s="113">
        <v>0.0019</v>
      </c>
    </row>
    <row r="7" spans="1:15" ht="14.25">
      <c r="A7" s="109">
        <v>0</v>
      </c>
      <c r="B7" s="114">
        <v>3.127</v>
      </c>
      <c r="C7" s="114">
        <v>3.039</v>
      </c>
      <c r="D7" s="114">
        <v>3.283</v>
      </c>
      <c r="E7" s="114">
        <v>3.191</v>
      </c>
      <c r="F7" s="114">
        <v>3.44</v>
      </c>
      <c r="G7" s="115">
        <v>3.343</v>
      </c>
      <c r="H7" s="106"/>
      <c r="I7" s="112">
        <v>2</v>
      </c>
      <c r="J7" s="112"/>
      <c r="K7" s="113">
        <v>0.0018</v>
      </c>
      <c r="L7" s="107"/>
      <c r="M7" s="112">
        <v>2</v>
      </c>
      <c r="N7" s="112"/>
      <c r="O7" s="113">
        <v>0.0022</v>
      </c>
    </row>
    <row r="8" spans="1:15" ht="14.25">
      <c r="A8" s="109">
        <v>6</v>
      </c>
      <c r="B8" s="114">
        <v>3.283</v>
      </c>
      <c r="C8" s="114">
        <v>3.191</v>
      </c>
      <c r="D8" s="114">
        <v>3.447</v>
      </c>
      <c r="E8" s="114">
        <v>3.351</v>
      </c>
      <c r="F8" s="114">
        <v>3.612</v>
      </c>
      <c r="G8" s="115">
        <v>3.51</v>
      </c>
      <c r="H8" s="106"/>
      <c r="I8" s="112">
        <v>3</v>
      </c>
      <c r="J8" s="112"/>
      <c r="K8" s="113">
        <v>0.0021</v>
      </c>
      <c r="L8" s="107"/>
      <c r="M8" s="112">
        <v>3</v>
      </c>
      <c r="N8" s="112"/>
      <c r="O8" s="113">
        <v>0.0025</v>
      </c>
    </row>
    <row r="9" spans="1:15" ht="14.25">
      <c r="A9" s="109">
        <v>11</v>
      </c>
      <c r="B9" s="114">
        <v>3.362</v>
      </c>
      <c r="C9" s="114">
        <v>3.267</v>
      </c>
      <c r="D9" s="114">
        <v>3.529</v>
      </c>
      <c r="E9" s="114">
        <v>3.43</v>
      </c>
      <c r="F9" s="114">
        <v>3.698</v>
      </c>
      <c r="G9" s="115">
        <v>3.594</v>
      </c>
      <c r="H9" s="106"/>
      <c r="I9" s="112">
        <v>4</v>
      </c>
      <c r="J9" s="112"/>
      <c r="K9" s="113">
        <v>0.0025</v>
      </c>
      <c r="L9" s="107"/>
      <c r="M9" s="112">
        <v>4</v>
      </c>
      <c r="N9" s="112"/>
      <c r="O9" s="113">
        <v>0.003</v>
      </c>
    </row>
    <row r="10" spans="1:15" ht="14.25">
      <c r="A10" s="109"/>
      <c r="B10" s="537" t="s">
        <v>104</v>
      </c>
      <c r="C10" s="537"/>
      <c r="D10" s="537"/>
      <c r="E10" s="537"/>
      <c r="F10" s="537"/>
      <c r="G10" s="537"/>
      <c r="H10" s="106"/>
      <c r="I10" s="112">
        <v>5</v>
      </c>
      <c r="J10" s="112"/>
      <c r="K10" s="113">
        <v>0.003</v>
      </c>
      <c r="L10" s="107"/>
      <c r="M10" s="112">
        <v>5</v>
      </c>
      <c r="N10" s="112"/>
      <c r="O10" s="113">
        <v>0.0037</v>
      </c>
    </row>
    <row r="11" spans="1:15" ht="14.25">
      <c r="A11" s="109"/>
      <c r="B11" s="543">
        <v>1000</v>
      </c>
      <c r="C11" s="543"/>
      <c r="D11" s="543">
        <v>1500</v>
      </c>
      <c r="E11" s="543"/>
      <c r="F11" s="544">
        <v>9999</v>
      </c>
      <c r="G11" s="544"/>
      <c r="H11" s="106"/>
      <c r="I11" s="112">
        <v>6</v>
      </c>
      <c r="J11" s="112"/>
      <c r="K11" s="113">
        <v>0.0018</v>
      </c>
      <c r="L11" s="107"/>
      <c r="M11" s="112">
        <v>6</v>
      </c>
      <c r="N11" s="112"/>
      <c r="O11" s="113">
        <v>0.0022</v>
      </c>
    </row>
    <row r="12" spans="1:13" ht="14.25">
      <c r="A12" s="109"/>
      <c r="B12" s="462" t="s">
        <v>103</v>
      </c>
      <c r="C12" s="462" t="s">
        <v>49</v>
      </c>
      <c r="D12" s="462" t="s">
        <v>103</v>
      </c>
      <c r="E12" s="462" t="s">
        <v>49</v>
      </c>
      <c r="F12" s="462" t="s">
        <v>103</v>
      </c>
      <c r="G12" s="463" t="s">
        <v>49</v>
      </c>
      <c r="H12" s="106"/>
      <c r="I12" s="106"/>
      <c r="J12" s="106"/>
      <c r="K12" s="106"/>
      <c r="L12" s="107"/>
      <c r="M12" s="107"/>
    </row>
    <row r="13" spans="1:11" ht="14.25">
      <c r="A13" s="109">
        <v>0</v>
      </c>
      <c r="B13" s="475">
        <v>6521</v>
      </c>
      <c r="C13" s="475">
        <v>6521</v>
      </c>
      <c r="D13" s="475">
        <v>10640</v>
      </c>
      <c r="E13" s="475">
        <v>10640</v>
      </c>
      <c r="F13" s="475">
        <v>24596</v>
      </c>
      <c r="G13" s="475">
        <v>24596</v>
      </c>
      <c r="H13" s="106"/>
      <c r="I13" s="106"/>
      <c r="J13" s="106"/>
      <c r="K13" s="106"/>
    </row>
    <row r="14" spans="1:11" ht="14.25">
      <c r="A14" s="109">
        <v>6</v>
      </c>
      <c r="B14" s="475">
        <v>6521</v>
      </c>
      <c r="C14" s="475">
        <v>6521</v>
      </c>
      <c r="D14" s="475">
        <v>10640</v>
      </c>
      <c r="E14" s="475">
        <v>10640</v>
      </c>
      <c r="F14" s="475">
        <v>24596</v>
      </c>
      <c r="G14" s="475">
        <v>24596</v>
      </c>
      <c r="H14" s="106"/>
      <c r="I14" s="106"/>
      <c r="J14" s="106"/>
      <c r="K14" s="106"/>
    </row>
    <row r="15" spans="1:11" ht="14.25">
      <c r="A15" s="116">
        <v>11</v>
      </c>
      <c r="B15" s="475">
        <v>6521</v>
      </c>
      <c r="C15" s="475">
        <v>6521</v>
      </c>
      <c r="D15" s="475">
        <v>10640</v>
      </c>
      <c r="E15" s="475">
        <v>10640</v>
      </c>
      <c r="F15" s="475">
        <v>24596</v>
      </c>
      <c r="G15" s="475">
        <v>24596</v>
      </c>
      <c r="H15" s="106"/>
      <c r="I15" s="106"/>
      <c r="J15" s="106"/>
      <c r="K15" s="106"/>
    </row>
    <row r="16" spans="1:11" ht="14.25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4.25">
      <c r="A17" s="117" t="s">
        <v>105</v>
      </c>
      <c r="B17" s="539" t="s">
        <v>102</v>
      </c>
      <c r="C17" s="539"/>
      <c r="D17" s="540" t="s">
        <v>104</v>
      </c>
      <c r="E17" s="540"/>
      <c r="F17" s="106"/>
      <c r="G17" s="106"/>
      <c r="H17" s="106"/>
      <c r="I17" s="106" t="s">
        <v>110</v>
      </c>
      <c r="J17" s="106"/>
      <c r="K17" s="106"/>
    </row>
    <row r="18" spans="1:11" ht="14.25">
      <c r="A18" s="109"/>
      <c r="B18" s="110" t="s">
        <v>92</v>
      </c>
      <c r="C18" s="110" t="s">
        <v>106</v>
      </c>
      <c r="D18" s="110" t="s">
        <v>92</v>
      </c>
      <c r="E18" s="111" t="s">
        <v>106</v>
      </c>
      <c r="F18" s="106"/>
      <c r="G18" s="106"/>
      <c r="H18" s="106"/>
      <c r="I18" s="106">
        <v>0</v>
      </c>
      <c r="J18" s="106">
        <v>0</v>
      </c>
      <c r="K18" s="106"/>
    </row>
    <row r="19" spans="1:11" ht="14.25">
      <c r="A19" s="109" t="s">
        <v>107</v>
      </c>
      <c r="B19" s="118">
        <v>0.04</v>
      </c>
      <c r="C19" s="110"/>
      <c r="D19" s="110"/>
      <c r="E19" s="111"/>
      <c r="F19" s="106"/>
      <c r="G19" s="106"/>
      <c r="H19" s="106"/>
      <c r="I19" s="106">
        <v>2500</v>
      </c>
      <c r="J19" s="106">
        <f>MIN(750,20%*'Pvt.Car'!$D$15)</f>
        <v>750</v>
      </c>
      <c r="K19" s="106"/>
    </row>
    <row r="20" spans="1:11" ht="14.25">
      <c r="A20" s="109" t="s">
        <v>108</v>
      </c>
      <c r="B20" s="118">
        <v>0.04</v>
      </c>
      <c r="C20" s="110"/>
      <c r="D20" s="110"/>
      <c r="E20" s="111">
        <v>60</v>
      </c>
      <c r="F20" s="106"/>
      <c r="G20" s="106"/>
      <c r="H20" s="106"/>
      <c r="I20" s="106">
        <v>5000</v>
      </c>
      <c r="J20" s="106">
        <f>MIN(1500,25%*'Pvt.Car'!$D$15)</f>
        <v>1500</v>
      </c>
      <c r="K20" s="106"/>
    </row>
    <row r="21" spans="1:11" ht="14.25">
      <c r="A21" s="109" t="s">
        <v>109</v>
      </c>
      <c r="B21" s="119">
        <v>0.005</v>
      </c>
      <c r="C21" s="110">
        <v>50</v>
      </c>
      <c r="D21" s="110"/>
      <c r="E21" s="111"/>
      <c r="F21" s="106"/>
      <c r="G21" s="106"/>
      <c r="H21" s="106"/>
      <c r="I21" s="106">
        <v>7500</v>
      </c>
      <c r="J21" s="106">
        <f>MIN(2000,30%*'Pvt.Car'!$D$15)</f>
        <v>2000</v>
      </c>
      <c r="K21" s="106"/>
    </row>
    <row r="22" spans="1:11" ht="14.25">
      <c r="A22" s="109"/>
      <c r="B22" s="110"/>
      <c r="C22" s="110"/>
      <c r="D22" s="110"/>
      <c r="E22" s="111"/>
      <c r="F22" s="106"/>
      <c r="G22" s="106"/>
      <c r="H22" s="106"/>
      <c r="I22" s="106">
        <v>15000</v>
      </c>
      <c r="J22" s="106">
        <f>MIN(2500,35%*'Pvt.Car'!$D$15)</f>
        <v>2500</v>
      </c>
      <c r="K22" s="106"/>
    </row>
    <row r="23" spans="1:11" ht="14.25">
      <c r="A23" s="109" t="s">
        <v>111</v>
      </c>
      <c r="B23" s="110"/>
      <c r="C23" s="110">
        <v>400</v>
      </c>
      <c r="D23" s="110"/>
      <c r="E23" s="111">
        <v>100</v>
      </c>
      <c r="F23" s="106"/>
      <c r="G23" s="106"/>
      <c r="H23" s="106"/>
      <c r="I23" s="106"/>
      <c r="J23" s="106"/>
      <c r="K23" s="106"/>
    </row>
    <row r="24" spans="1:11" ht="14.25">
      <c r="A24" s="109" t="s">
        <v>112</v>
      </c>
      <c r="B24" s="118">
        <v>0.3</v>
      </c>
      <c r="C24" s="110"/>
      <c r="D24" s="110"/>
      <c r="E24" s="111"/>
      <c r="F24" s="106"/>
      <c r="G24" s="106"/>
      <c r="H24" s="106"/>
      <c r="I24" s="106"/>
      <c r="J24" s="106"/>
      <c r="K24" s="106"/>
    </row>
    <row r="25" spans="1:11" ht="14.25">
      <c r="A25" s="109" t="s">
        <v>79</v>
      </c>
      <c r="B25" s="119">
        <v>0.05</v>
      </c>
      <c r="C25" s="110">
        <v>50</v>
      </c>
      <c r="D25" s="110"/>
      <c r="E25" s="111"/>
      <c r="F25" s="106"/>
      <c r="G25" s="106"/>
      <c r="H25" s="106"/>
      <c r="I25" s="106"/>
      <c r="J25" s="106"/>
      <c r="K25" s="106"/>
    </row>
    <row r="26" spans="1:11" ht="14.25">
      <c r="A26" s="109" t="s">
        <v>113</v>
      </c>
      <c r="B26" s="110"/>
      <c r="C26" s="110"/>
      <c r="D26" s="110"/>
      <c r="E26" s="111">
        <v>100</v>
      </c>
      <c r="F26" s="106"/>
      <c r="G26" s="106"/>
      <c r="H26" s="106"/>
      <c r="I26" s="106"/>
      <c r="J26" s="106"/>
      <c r="K26" s="106"/>
    </row>
    <row r="27" spans="1:11" ht="14.25">
      <c r="A27" s="109" t="s">
        <v>114</v>
      </c>
      <c r="B27" s="110"/>
      <c r="C27" s="110"/>
      <c r="D27" s="110"/>
      <c r="E27" s="111">
        <v>50</v>
      </c>
      <c r="F27" s="106"/>
      <c r="G27" s="106"/>
      <c r="H27" s="106"/>
      <c r="I27" s="106"/>
      <c r="J27" s="106"/>
      <c r="K27" s="106"/>
    </row>
    <row r="28" spans="1:11" ht="14.25">
      <c r="A28" s="109" t="s">
        <v>115</v>
      </c>
      <c r="B28" s="110"/>
      <c r="C28" s="110"/>
      <c r="D28" s="110"/>
      <c r="E28" s="111">
        <v>50</v>
      </c>
      <c r="F28" s="106"/>
      <c r="G28" s="106"/>
      <c r="H28" s="106"/>
      <c r="I28" s="106"/>
      <c r="J28" s="106"/>
      <c r="K28" s="106"/>
    </row>
    <row r="29" spans="1:11" ht="14.25">
      <c r="A29" s="109"/>
      <c r="B29" s="110"/>
      <c r="C29" s="110"/>
      <c r="D29" s="110"/>
      <c r="E29" s="111"/>
      <c r="F29" s="106"/>
      <c r="G29" s="106"/>
      <c r="H29" s="106"/>
      <c r="I29" s="106"/>
      <c r="J29" s="106"/>
      <c r="K29" s="106"/>
    </row>
    <row r="30" spans="1:11" ht="14.25">
      <c r="A30" s="109"/>
      <c r="B30" s="110"/>
      <c r="C30" s="110"/>
      <c r="D30" s="110"/>
      <c r="E30" s="111"/>
      <c r="F30" s="106"/>
      <c r="G30" s="106"/>
      <c r="H30" s="106"/>
      <c r="I30" s="106"/>
      <c r="J30" s="106"/>
      <c r="K30" s="106"/>
    </row>
    <row r="31" spans="1:11" ht="14.25">
      <c r="A31" s="109"/>
      <c r="B31" s="110"/>
      <c r="C31" s="110"/>
      <c r="D31" s="110"/>
      <c r="E31" s="111"/>
      <c r="F31" s="106"/>
      <c r="G31" s="106"/>
      <c r="H31" s="106"/>
      <c r="I31" s="106"/>
      <c r="J31" s="106"/>
      <c r="K31" s="106"/>
    </row>
    <row r="32" spans="1:11" ht="14.25">
      <c r="A32" s="109" t="s">
        <v>116</v>
      </c>
      <c r="B32" s="110"/>
      <c r="C32" s="110"/>
      <c r="D32" s="110"/>
      <c r="E32" s="111"/>
      <c r="F32" s="106"/>
      <c r="G32" s="106"/>
      <c r="H32" s="106"/>
      <c r="I32" s="106"/>
      <c r="J32" s="106"/>
      <c r="K32" s="106"/>
    </row>
    <row r="33" spans="1:11" ht="14.25">
      <c r="A33" s="109" t="s">
        <v>117</v>
      </c>
      <c r="B33" s="110">
        <v>2.5</v>
      </c>
      <c r="C33" s="110">
        <v>500</v>
      </c>
      <c r="D33" s="110"/>
      <c r="E33" s="111"/>
      <c r="F33" s="106"/>
      <c r="G33" s="106"/>
      <c r="H33" s="106"/>
      <c r="I33" s="106"/>
      <c r="J33" s="106"/>
      <c r="K33" s="106"/>
    </row>
    <row r="34" spans="1:11" ht="14.25">
      <c r="A34" s="109" t="s">
        <v>118</v>
      </c>
      <c r="B34" s="110"/>
      <c r="C34" s="110"/>
      <c r="D34" s="110"/>
      <c r="E34" s="111">
        <v>100</v>
      </c>
      <c r="F34" s="106"/>
      <c r="G34" s="106"/>
      <c r="H34" s="106"/>
      <c r="I34" s="106"/>
      <c r="J34" s="106"/>
      <c r="K34" s="106"/>
    </row>
    <row r="35" spans="1:11" ht="14.25">
      <c r="A35" s="109" t="s">
        <v>78</v>
      </c>
      <c r="B35" s="118">
        <v>0.5</v>
      </c>
      <c r="C35" s="110"/>
      <c r="D35" s="110"/>
      <c r="E35" s="111"/>
      <c r="F35" s="106"/>
      <c r="G35" s="106"/>
      <c r="H35" s="106"/>
      <c r="I35" s="106"/>
      <c r="J35" s="106"/>
      <c r="K35" s="106"/>
    </row>
    <row r="36" spans="1:11" ht="14.25">
      <c r="A36" s="109" t="s">
        <v>119</v>
      </c>
      <c r="B36" s="119">
        <v>0.3333</v>
      </c>
      <c r="C36" s="110"/>
      <c r="D36" s="110"/>
      <c r="E36" s="111"/>
      <c r="F36" s="106"/>
      <c r="G36" s="106"/>
      <c r="H36" s="106"/>
      <c r="I36" s="106"/>
      <c r="J36" s="106"/>
      <c r="K36" s="106"/>
    </row>
    <row r="37" spans="1:11" ht="14.25">
      <c r="A37" s="109" t="s">
        <v>120</v>
      </c>
      <c r="B37" s="110" t="s">
        <v>106</v>
      </c>
      <c r="C37" s="110" t="s">
        <v>92</v>
      </c>
      <c r="D37" s="110" t="s">
        <v>121</v>
      </c>
      <c r="E37" s="111"/>
      <c r="F37" s="106"/>
      <c r="G37" s="106"/>
      <c r="H37" s="106"/>
      <c r="I37" s="106"/>
      <c r="J37" s="106"/>
      <c r="K37" s="106"/>
    </row>
    <row r="38" spans="1:11" ht="14.25">
      <c r="A38" s="109"/>
      <c r="B38" s="110">
        <v>2500</v>
      </c>
      <c r="C38" s="110">
        <v>20</v>
      </c>
      <c r="D38" s="110">
        <v>750</v>
      </c>
      <c r="E38" s="111"/>
      <c r="F38" s="106"/>
      <c r="G38" s="106"/>
      <c r="H38" s="106"/>
      <c r="I38" s="106"/>
      <c r="J38" s="106"/>
      <c r="K38" s="106"/>
    </row>
    <row r="39" spans="1:11" ht="14.25">
      <c r="A39" s="109"/>
      <c r="B39" s="110">
        <v>5000</v>
      </c>
      <c r="C39" s="110">
        <v>25</v>
      </c>
      <c r="D39" s="110">
        <v>1500</v>
      </c>
      <c r="E39" s="111"/>
      <c r="F39" s="106"/>
      <c r="G39" s="106"/>
      <c r="H39" s="106"/>
      <c r="I39" s="106"/>
      <c r="J39" s="106"/>
      <c r="K39" s="106"/>
    </row>
    <row r="40" spans="1:11" ht="14.25">
      <c r="A40" s="109"/>
      <c r="B40" s="110">
        <v>7500</v>
      </c>
      <c r="C40" s="110">
        <v>30</v>
      </c>
      <c r="D40" s="110">
        <v>2000</v>
      </c>
      <c r="E40" s="111"/>
      <c r="F40" s="106"/>
      <c r="G40" s="106"/>
      <c r="H40" s="106"/>
      <c r="I40" s="106"/>
      <c r="J40" s="106"/>
      <c r="K40" s="106"/>
    </row>
    <row r="41" spans="1:11" ht="14.25">
      <c r="A41" s="109"/>
      <c r="B41" s="110">
        <v>15000</v>
      </c>
      <c r="C41" s="110">
        <v>35</v>
      </c>
      <c r="D41" s="110">
        <v>2500</v>
      </c>
      <c r="E41" s="111"/>
      <c r="F41" s="106"/>
      <c r="G41" s="106"/>
      <c r="H41" s="106"/>
      <c r="I41" s="106"/>
      <c r="J41" s="106"/>
      <c r="K41" s="106"/>
    </row>
    <row r="42" spans="1:11" ht="14.25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</row>
    <row r="43" spans="1:11" ht="14.2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4.25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4.2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4.25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4.25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4.2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6:11" ht="14.25">
      <c r="F49" s="106"/>
      <c r="G49" s="106"/>
      <c r="H49" s="106"/>
      <c r="I49" s="106"/>
      <c r="J49" s="106"/>
      <c r="K49" s="106"/>
    </row>
    <row r="50" spans="6:11" ht="14.25">
      <c r="F50" s="106"/>
      <c r="G50" s="106"/>
      <c r="H50" s="106"/>
      <c r="I50" s="106"/>
      <c r="J50" s="106"/>
      <c r="K50" s="106"/>
    </row>
    <row r="51" spans="6:8" ht="14.25">
      <c r="F51" s="106"/>
      <c r="G51" s="106"/>
      <c r="H51" s="106"/>
    </row>
  </sheetData>
  <sheetProtection selectLockedCells="1" selectUnlockedCells="1"/>
  <mergeCells count="13">
    <mergeCell ref="A3:G3"/>
    <mergeCell ref="B4:G4"/>
    <mergeCell ref="B5:C5"/>
    <mergeCell ref="D5:E5"/>
    <mergeCell ref="F5:G5"/>
    <mergeCell ref="I5:K5"/>
    <mergeCell ref="M5:O5"/>
    <mergeCell ref="B10:G10"/>
    <mergeCell ref="B11:C11"/>
    <mergeCell ref="D11:E11"/>
    <mergeCell ref="F11:G11"/>
    <mergeCell ref="B17:C17"/>
    <mergeCell ref="D17:E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35.00390625" style="75" customWidth="1"/>
    <col min="2" max="2" width="12.7109375" style="100" customWidth="1"/>
    <col min="3" max="3" width="9.140625" style="75" customWidth="1"/>
    <col min="4" max="4" width="35.00390625" style="75" customWidth="1"/>
    <col min="5" max="5" width="11.140625" style="75" customWidth="1"/>
    <col min="6" max="16384" width="9.140625" style="75" customWidth="1"/>
  </cols>
  <sheetData>
    <row r="1" spans="1:3" ht="15.75">
      <c r="A1" s="76"/>
      <c r="B1" s="101"/>
      <c r="C1" s="76"/>
    </row>
    <row r="2" spans="1:5" ht="15.75">
      <c r="A2" s="102" t="s">
        <v>94</v>
      </c>
      <c r="B2" s="103"/>
      <c r="C2" s="76"/>
      <c r="D2" s="102" t="s">
        <v>94</v>
      </c>
      <c r="E2" s="103"/>
    </row>
    <row r="3" spans="1:5" ht="15.75">
      <c r="A3" s="78"/>
      <c r="B3" s="103"/>
      <c r="C3" s="76"/>
      <c r="D3" s="78"/>
      <c r="E3" s="103"/>
    </row>
    <row r="4" spans="1:5" ht="15.75">
      <c r="A4" s="78" t="s">
        <v>48</v>
      </c>
      <c r="B4" s="103" t="str">
        <f>+'Pvt.Car3 bundle '!H7</f>
        <v>B</v>
      </c>
      <c r="C4" s="76"/>
      <c r="D4" s="78" t="s">
        <v>48</v>
      </c>
      <c r="E4" s="103">
        <f>+'Pvt.Car3 bundle '!M5</f>
        <v>0</v>
      </c>
    </row>
    <row r="5" spans="1:5" ht="15.75">
      <c r="A5" s="78" t="s">
        <v>51</v>
      </c>
      <c r="B5" s="103">
        <f>+'Pvt.Car3 bundle '!H8</f>
        <v>1000</v>
      </c>
      <c r="C5" s="76"/>
      <c r="D5" s="78" t="s">
        <v>51</v>
      </c>
      <c r="E5" s="103">
        <f>+'Pvt.Car3 bundle '!M6</f>
        <v>0</v>
      </c>
    </row>
    <row r="6" spans="1:5" ht="15.75">
      <c r="A6" s="78" t="s">
        <v>95</v>
      </c>
      <c r="B6" s="103">
        <f ca="1">IF((YEAR(TODAY())-'Pvt.Car3 bundle '!H6+1)&lt;1,0,(YEAR(TODAY())-'Pvt.Car3 bundle '!H6+1))</f>
        <v>6</v>
      </c>
      <c r="C6" s="76"/>
      <c r="D6" s="78" t="s">
        <v>95</v>
      </c>
      <c r="E6" s="103">
        <f ca="1">IF((YEAR(TODAY())-'Pvt.Car3 bundle '!H6+1)&lt;1,0,(YEAR(TODAY())-'Pvt.Car3 bundle '!H6+1))</f>
        <v>6</v>
      </c>
    </row>
    <row r="7" spans="1:5" ht="15.75">
      <c r="A7" s="78" t="s">
        <v>96</v>
      </c>
      <c r="B7" s="103">
        <f>(IF(B4="A",IF(B5&lt;1001,1,IF(B5&lt;1501,3,5)),IF(B5&lt;1001,2,IF(B5&lt;1501,4,6)))+1)</f>
        <v>3</v>
      </c>
      <c r="C7" s="76"/>
      <c r="D7" s="78" t="s">
        <v>96</v>
      </c>
      <c r="E7" s="103">
        <f>(IF(E4="A",IF(J5&lt;1001,1,IF(J5&lt;1501,3,5)),IF(J5&lt;1001,2,IF(J5&lt;1501,4,6)))+1)</f>
        <v>3</v>
      </c>
    </row>
    <row r="8" spans="1:5" ht="15.75">
      <c r="A8" s="78" t="s">
        <v>97</v>
      </c>
      <c r="B8" s="104">
        <f>VLOOKUP(B6,CART3!A7:G9,CARCAL3!B7)</f>
        <v>3.191</v>
      </c>
      <c r="C8" s="76"/>
      <c r="D8" s="78" t="s">
        <v>122</v>
      </c>
      <c r="E8" s="105">
        <f>VLOOKUP(E6,CART3!I6:K11,CARCAL3!E7)</f>
        <v>0.0018</v>
      </c>
    </row>
    <row r="9" spans="1:5" ht="15.75">
      <c r="A9" s="78"/>
      <c r="B9" s="103"/>
      <c r="C9" s="76"/>
      <c r="D9" s="78" t="s">
        <v>123</v>
      </c>
      <c r="E9" s="105">
        <f>VLOOKUP(E6,CART3!M6:O12,CARCAL3!E7)</f>
        <v>0.0022</v>
      </c>
    </row>
    <row r="10" spans="1:3" ht="15.75">
      <c r="A10" s="102" t="s">
        <v>98</v>
      </c>
      <c r="B10" s="103"/>
      <c r="C10" s="76"/>
    </row>
    <row r="11" spans="1:3" ht="15.75">
      <c r="A11" s="78" t="s">
        <v>99</v>
      </c>
      <c r="B11" s="103">
        <f>VLOOKUP(B6,CART3!A13:G15,CARCAL3!B7)</f>
        <v>6521</v>
      </c>
      <c r="C11" s="76"/>
    </row>
    <row r="12" spans="1:3" ht="15.75">
      <c r="A12" s="76"/>
      <c r="B12" s="101"/>
      <c r="C12" s="76"/>
    </row>
    <row r="13" spans="1:3" ht="15.75">
      <c r="A13" s="76"/>
      <c r="B13" s="101"/>
      <c r="C13" s="76"/>
    </row>
    <row r="14" spans="1:3" ht="15.75">
      <c r="A14" s="76"/>
      <c r="B14" s="101"/>
      <c r="C14" s="76"/>
    </row>
    <row r="15" spans="1:3" ht="15.75">
      <c r="A15" s="76"/>
      <c r="B15" s="101"/>
      <c r="C15" s="76"/>
    </row>
    <row r="16" spans="1:3" ht="15.75">
      <c r="A16" s="76"/>
      <c r="B16" s="101"/>
      <c r="C16" s="76"/>
    </row>
    <row r="17" spans="1:3" ht="15.75">
      <c r="A17" s="76"/>
      <c r="B17" s="101"/>
      <c r="C17" s="76"/>
    </row>
    <row r="18" spans="1:3" ht="15.75">
      <c r="A18" s="76"/>
      <c r="B18" s="101"/>
      <c r="C18" s="76"/>
    </row>
    <row r="19" spans="1:3" ht="15.75">
      <c r="A19" s="76"/>
      <c r="B19" s="101"/>
      <c r="C19" s="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Asus</cp:lastModifiedBy>
  <cp:lastPrinted>2021-02-23T12:37:52Z</cp:lastPrinted>
  <dcterms:created xsi:type="dcterms:W3CDTF">2021-02-05T15:13:52Z</dcterms:created>
  <dcterms:modified xsi:type="dcterms:W3CDTF">2022-08-23T05:31:22Z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